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Übersicht" state="visible" r:id="rId4"/>
    <sheet sheetId="2" name="Annahmen" state="visible" r:id="rId5"/>
    <sheet sheetId="3" name="GuV" state="visible" r:id="rId6"/>
    <sheet sheetId="4" name="Kapitalflussrechnung" state="visible" r:id="rId7"/>
    <sheet sheetId="5" name="Bilanz" state="visible" r:id="rId8"/>
    <sheet sheetId="6" name="Tilgungspläne" state="visible" r:id="rId9"/>
    <sheet sheetId="7" name="Szenarien" state="visible" r:id="rId10"/>
    <sheet sheetId="8" name="Kennzahlen" state="visible" r:id="rId11"/>
    <sheet sheetId="9" name="Covenants" state="visible" r:id="rId12"/>
    <sheet sheetId="10" name="_planvik_data" state="veryHidden" r:id="rId13"/>
  </sheets>
  <definedNames>
    <definedName name="_xlnm.Print_Titles" localSheetId="1">'Annahmen'!$1:$1</definedName>
    <definedName name="_xlnm.Print_Titles" localSheetId="2">'GuV'!$1:$3</definedName>
    <definedName name="_xlnm.Print_Titles" localSheetId="3">'Kapitalflussrechnung'!$A:$B,'Kapitalflussrechnung'!$1:$3</definedName>
    <definedName name="_xlnm.Print_Titles" localSheetId="4">'Bilanz'!$1:$3</definedName>
    <definedName name="_xlnm.Print_Area" localSheetId="5">'Tilgungspläne'!$A1:$AO106</definedName>
    <definedName name="_xlnm.Print_Titles" localSheetId="5">'Tilgungspläne'!$1:$3</definedName>
    <definedName name="_xlnm.Print_Titles" localSheetId="6">'Szenarien'!$1:$4</definedName>
    <definedName name="_xlnm.Print_Titles" localSheetId="7">'Kennzahlen'!$1:$3</definedName>
    <definedName name="_xlnm.Print_Titles" localSheetId="8">'Covenants'!$1:$3</definedName>
  </definedNames>
  <calcPr calcId="171027" fullCalcOnLoad="1"/>
</workbook>
</file>

<file path=xl/sharedStrings.xml><?xml version="1.0" encoding="utf-8"?>
<sst xmlns="http://schemas.openxmlformats.org/spreadsheetml/2006/main" count="1956" uniqueCount="506">
  <si>
    <t>Demo GmbH</t>
  </si>
  <si>
    <t>Finanzplan  ·  2026 – 2028  ·  Erstellt: 21.07.2026</t>
  </si>
  <si>
    <t>I. Executive Summary</t>
  </si>
  <si>
    <t>Kreditbetrag</t>
  </si>
  <si>
    <t>Umsatz 2026</t>
  </si>
  <si>
    <t>Umsatz 2028</t>
  </si>
  <si>
    <t>Umsatzwachstum p.a.</t>
  </si>
  <si>
    <t>EBITDA-Marge 2026</t>
  </si>
  <si>
    <t>Jahresüberschuss 2026</t>
  </si>
  <si>
    <t>DSCR 2026</t>
  </si>
  <si>
    <t>EK-Quote nach Finanzierung</t>
  </si>
  <si>
    <t>II. Unternehmen</t>
  </si>
  <si>
    <t>Firma</t>
  </si>
  <si>
    <t>Land</t>
  </si>
  <si>
    <t>Deutschland</t>
  </si>
  <si>
    <t>Straße</t>
  </si>
  <si>
    <t>Musterstraße 42</t>
  </si>
  <si>
    <t>PLZ / Stadt</t>
  </si>
  <si>
    <t>80331 München</t>
  </si>
  <si>
    <t>Handelsregister</t>
  </si>
  <si>
    <t>HRB 245891, Amtsgericht München</t>
  </si>
  <si>
    <t>USt-ID</t>
  </si>
  <si>
    <t>DE312456789</t>
  </si>
  <si>
    <t>Branche</t>
  </si>
  <si>
    <t>IT-Dienstleistungen &amp; SaaS</t>
  </si>
  <si>
    <t>Gründung</t>
  </si>
  <si>
    <t>01.03.2020</t>
  </si>
  <si>
    <t>Website</t>
  </si>
  <si>
    <t>www.demo-gmbh.de</t>
  </si>
  <si>
    <t>III. Geschäftsführung</t>
  </si>
  <si>
    <t>Name</t>
  </si>
  <si>
    <t>Anna Mustermann</t>
  </si>
  <si>
    <t>E-Mail</t>
  </si>
  <si>
    <t>mustermann@demo-gmbh.de</t>
  </si>
  <si>
    <t>Telefon</t>
  </si>
  <si>
    <t>+49 89 1234 5678</t>
  </si>
  <si>
    <t>Geburtsdatum</t>
  </si>
  <si>
    <t>15.06.1985</t>
  </si>
  <si>
    <t>Geburtsort</t>
  </si>
  <si>
    <t>München</t>
  </si>
  <si>
    <t>Ausweis-Nr.</t>
  </si>
  <si>
    <t>T220018734</t>
  </si>
  <si>
    <t>Weiterer GF</t>
  </si>
  <si>
    <t>Dr. Thomas Berg</t>
  </si>
  <si>
    <t>22.03.1978</t>
  </si>
  <si>
    <t>Stuttgart</t>
  </si>
  <si>
    <t>L01X00T47</t>
  </si>
  <si>
    <t>IV. Kreditanfrage</t>
  </si>
  <si>
    <t>Laufzeit (Jahre)</t>
  </si>
  <si>
    <t>Zinssatz p.a.</t>
  </si>
  <si>
    <t>Tilgungsart</t>
  </si>
  <si>
    <t>Annuität</t>
  </si>
  <si>
    <t>Tilgungsfreie Zeit</t>
  </si>
  <si>
    <t>1 Jahre</t>
  </si>
  <si>
    <t>Zweck</t>
  </si>
  <si>
    <t>Wachstum / Expansion</t>
  </si>
  <si>
    <t>Auszahlungsdatum</t>
  </si>
  <si>
    <t>01.01.2026</t>
  </si>
  <si>
    <t>Weitere geplante Kredite</t>
  </si>
  <si>
    <t>Neues Fremdkapital gesamt</t>
  </si>
  <si>
    <t>Zusätzliche Eigenmittel</t>
  </si>
  <si>
    <t>Persönliche Bürgschaft</t>
  </si>
  <si>
    <t>Nein</t>
  </si>
  <si>
    <r>
      <rPr>
        <b/>
        <color rgb="FF0000FF"/>
        <sz val="9"/>
        <rFont val="Arial"/>
      </rPr>
      <t>Blaue Werte</t>
    </r>
    <r>
      <rPr>
        <color rgb="FF000000"/>
        <sz val="9"/>
        <rFont val="Arial"/>
      </rPr>
      <t xml:space="preserve"> sind Eingaben und dürfen angepasst werden.</t>
    </r>
  </si>
  <si>
    <r>
      <rPr>
        <b/>
        <color rgb="FF000000"/>
        <sz val="9"/>
        <rFont val="Arial"/>
      </rPr>
      <t>Schwarze Werte</t>
    </r>
    <r>
      <rPr>
        <color rgb="FF000000"/>
        <sz val="9"/>
        <rFont val="Arial"/>
      </rPr>
      <t xml:space="preserve"> (Formeln) und </t>
    </r>
    <r>
      <rPr>
        <b/>
        <color rgb="FF006100"/>
        <sz val="9"/>
        <rFont val="Arial"/>
      </rPr>
      <t>grüne Werte</t>
    </r>
    <r>
      <rPr>
        <color rgb="FF000000"/>
        <sz val="9"/>
        <rFont val="Arial"/>
      </rPr>
      <t xml:space="preserve"> (Verknüpfungen) bitte nicht verändern.</t>
    </r>
  </si>
  <si>
    <r>
      <rPr>
        <b/>
        <color rgb="FF0000FF"/>
        <sz val="9"/>
        <rFont val="Arial"/>
      </rPr>
      <t>Blaue Werte</t>
    </r>
    <r>
      <rPr>
        <color rgb="FF000000"/>
        <sz val="9"/>
        <rFont val="Arial"/>
      </rPr>
      <t xml:space="preserve"> = Eingaben (anpassbar) · </t>
    </r>
    <r>
      <rPr>
        <b/>
        <color rgb="FF000000"/>
        <sz val="9"/>
        <rFont val="Arial"/>
      </rPr>
      <t>schwarze</t>
    </r>
    <r>
      <rPr>
        <color rgb="FF000000"/>
        <sz val="9"/>
        <rFont val="Arial"/>
      </rPr>
      <t xml:space="preserve"> und </t>
    </r>
    <r>
      <rPr>
        <b/>
        <color rgb="FF006100"/>
        <sz val="9"/>
        <rFont val="Arial"/>
      </rPr>
      <t>grüne Werte</t>
    </r>
    <r>
      <rPr>
        <color rgb="FF000000"/>
        <sz val="9"/>
        <rFont val="Arial"/>
      </rPr>
      <t xml:space="preserve"> = Formeln und Verknüpfungen (bitte nicht überschreiben)</t>
    </r>
  </si>
  <si>
    <t>Annahmen</t>
  </si>
  <si>
    <t>Stand: 21.07.2026</t>
  </si>
  <si>
    <t>I.I Umsatzerlöse — gleichmäßig</t>
  </si>
  <si>
    <t>Produkt / Dienstleistung</t>
  </si>
  <si>
    <t>Nettopreis</t>
  </si>
  <si>
    <t>Menge/J.</t>
  </si>
  <si>
    <t>Wachstum</t>
  </si>
  <si>
    <t>SaaS Plattform-Lizenzen (MRR)</t>
  </si>
  <si>
    <t>API-Zugangslizenzen (Pay-per-Use)</t>
  </si>
  <si>
    <t>Managed Services &amp; Support (SLA)</t>
  </si>
  <si>
    <t>Datenanalyse &amp; Reporting (Add-on)</t>
  </si>
  <si>
    <t>White-Label Partnerprogramm</t>
  </si>
  <si>
    <t>Hardware-Reselling (Server/Clients)</t>
  </si>
  <si>
    <t>Consulting &amp; Strategieberatung</t>
  </si>
  <si>
    <t>I.II Umsatzerlöse — saisonal</t>
  </si>
  <si>
    <t>Enterprise On-Premise Lizenzen</t>
  </si>
  <si>
    <t>Implementierung &amp; Customizing</t>
  </si>
  <si>
    <t>Schulungen &amp; Zertifizierungen</t>
  </si>
  <si>
    <t>Absatzmatrix — Umsatzerlöse saisonal</t>
  </si>
  <si>
    <t>Produkt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</si>
  <si>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</si>
  <si>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</si>
  <si>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</si>
  <si>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</si>
  <si>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</si>
  <si>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</si>
  <si>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</si>
  <si>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</si>
  <si>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</si>
  <si>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</si>
  <si>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</si>
  <si>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</si>
  <si>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Summe</t>
  </si>
  <si>
    <t>I.III Einmalige Umsätze</t>
  </si>
  <si>
    <t>Position</t>
  </si>
  <si>
    <t>Monat</t>
  </si>
  <si>
    <t>Jahr</t>
  </si>
  <si>
    <t>Betrag</t>
  </si>
  <si>
    <t>Migrationsprojekt Bestandskunde Alpha</t>
  </si>
  <si>
    <t/>
  </si>
  <si>
    <t>Einmalige Lizenzgebühr Enterprise-Vertrag</t>
  </si>
  <si>
    <t>II.I Personalbestand</t>
  </si>
  <si>
    <t>Rolle</t>
  </si>
  <si>
    <t>Anzahl</t>
  </si>
  <si>
    <t>Gehalt/P. (EUR)</t>
  </si>
  <si>
    <t>Steigerung p.a.</t>
  </si>
  <si>
    <t>Geschäftsführung</t>
  </si>
  <si>
    <t>Software-Entwicklung (Backend)</t>
  </si>
  <si>
    <t>Software-Entwicklung (Frontend)</t>
  </si>
  <si>
    <t>DevOps &amp; Cloud Engineering</t>
  </si>
  <si>
    <t>Data Science &amp; Analytics</t>
  </si>
  <si>
    <t>Produktmanagement</t>
  </si>
  <si>
    <t>Vertrieb &amp; Account Management</t>
  </si>
  <si>
    <t>Customer Success &amp; Support</t>
  </si>
  <si>
    <t>Verwaltung, HR &amp; Finance</t>
  </si>
  <si>
    <t>II.II Kurzfristig Beschäftigte</t>
  </si>
  <si>
    <t>EUR/Monat</t>
  </si>
  <si>
    <t>Von Monat</t>
  </si>
  <si>
    <t>Bis Monat</t>
  </si>
  <si>
    <t>Freelancer UX/UI Design</t>
  </si>
  <si>
    <t>Freelancer Security Audit</t>
  </si>
  <si>
    <t>Werkstudent Marketing</t>
  </si>
  <si>
    <t>Interim CFO (Boersen-Vorbereitung)</t>
  </si>
  <si>
    <t>II.III Geplante Personalveränderungen</t>
  </si>
  <si>
    <t>Bereich</t>
  </si>
  <si>
    <t>Art</t>
  </si>
  <si>
    <t>Ab Monat</t>
  </si>
  <si>
    <t>Einstellung</t>
  </si>
  <si>
    <t>Gesamt</t>
  </si>
  <si>
    <t>Abbau</t>
  </si>
  <si>
    <t>III. Betriebskosten</t>
  </si>
  <si>
    <t>EUR / Jahr</t>
  </si>
  <si>
    <t>Miete</t>
  </si>
  <si>
    <t>Marketing &amp; Vertrieb</t>
  </si>
  <si>
    <t>IT &amp; Software</t>
  </si>
  <si>
    <t>Versicherungen</t>
  </si>
  <si>
    <t>Sonstige Betriebskosten</t>
  </si>
  <si>
    <t>IV.I Geplante Investitionen</t>
  </si>
  <si>
    <t>Bezeichnung</t>
  </si>
  <si>
    <t>AfA (J.)</t>
  </si>
  <si>
    <t>Cloud-Infrastruktur (AWS/Azure Migration)</t>
  </si>
  <si>
    <t>SaaS-Plattform v3.0 Rewrite (Phase 1)</t>
  </si>
  <si>
    <t>Büroumbau &amp; Erweiterung 2. OG</t>
  </si>
  <si>
    <t>Firmenwagen Fuhrpark (1x)</t>
  </si>
  <si>
    <t>KI/ML-Infrastruktur (GPU-Cluster)</t>
  </si>
  <si>
    <t>CRM &amp; ERP System (Salesforce/SAP)</t>
  </si>
  <si>
    <t>Messebau &amp; Demo-Equipment</t>
  </si>
  <si>
    <t>Ergonomische Arbeitsplätze (50 Stk)</t>
  </si>
  <si>
    <t>IV.II Bestehende Abschreibungen</t>
  </si>
  <si>
    <t>AfA p.a. (EUR)</t>
  </si>
  <si>
    <t>Server-Infrastruktur Dell (Bj. 2022)</t>
  </si>
  <si>
    <t>Büromöbel &amp; Ausstattung (Bj. 2021)</t>
  </si>
  <si>
    <t>Firmenfahrzeug Audi A4 Avant (Bj. 2023)</t>
  </si>
  <si>
    <t>Firmenfahrzeug BMW 320d (Bj. 2024)</t>
  </si>
  <si>
    <t>Netzwerk &amp; Sicherheitstechnik (Bj. 2023)</t>
  </si>
  <si>
    <t>Telefonanlage &amp; IT-Peripherie (Bj. 2024)</t>
  </si>
  <si>
    <t>Laborausstattung Testumgebung (Bj. 2023)</t>
  </si>
  <si>
    <t>V.I Gleichmäßige Kosten</t>
  </si>
  <si>
    <t>Leasingraten Fuhrpark</t>
  </si>
  <si>
    <t>Externe Buchhaltung &amp; Steuerberatung</t>
  </si>
  <si>
    <t>Recruiting &amp; Headhunting</t>
  </si>
  <si>
    <t>Reisekosten &amp; Spesen</t>
  </si>
  <si>
    <t>Weiterbildung &amp; Konferenzen</t>
  </si>
  <si>
    <t>Softwarelizenzen (Drittanbieter)</t>
  </si>
  <si>
    <t>Messeauftritte &amp; Events</t>
  </si>
  <si>
    <t>Patentkosten &amp; IP-Schutz</t>
  </si>
  <si>
    <t>Coworking Satellitenbüro Berlin</t>
  </si>
  <si>
    <t>V.II Saisonale Kosten</t>
  </si>
  <si>
    <t>Saisonale Werbekampagne</t>
  </si>
  <si>
    <t>Messe &amp; Konferenzteilnahme</t>
  </si>
  <si>
    <t>Verteilung saisonaler Kosten  (Jahr 1 — Folgejahre über Steigerung p.a.)</t>
  </si>
  <si>
    <t>Kostenposition</t>
  </si>
  <si>
    <t>V.III Einmalige Kosten</t>
  </si>
  <si>
    <t>Markteintrittskampagne UK</t>
  </si>
  <si>
    <t>ISO-Zertifizierung</t>
  </si>
  <si>
    <t>VI.I Bestehende Kredite</t>
  </si>
  <si>
    <t>Kredit</t>
  </si>
  <si>
    <t>Betrag (EUR)</t>
  </si>
  <si>
    <t>Zins p.a.</t>
  </si>
  <si>
    <t>Restlaufzeit (J.)</t>
  </si>
  <si>
    <t>Modus</t>
  </si>
  <si>
    <t>Läuft bis</t>
  </si>
  <si>
    <t>KfW Unternehmerkredit (2023)</t>
  </si>
  <si>
    <t>Sparkasse Betriebsmittelkredit</t>
  </si>
  <si>
    <t>Volksbank Investitionskredit (2024)</t>
  </si>
  <si>
    <t>Leasingfinanzierung IT-Hardware (2024)</t>
  </si>
  <si>
    <t>Gesellschafterdarlehen (nachrangig)</t>
  </si>
  <si>
    <t>Endfällig</t>
  </si>
  <si>
    <t>Commerzbank Anlagefinanzierung (2022)</t>
  </si>
  <si>
    <t>Fuhrpark-Leasing Transporter (2024)</t>
  </si>
  <si>
    <t>VI.II Geplante Kredite</t>
  </si>
  <si>
    <t>Laufzeit (J.)</t>
  </si>
  <si>
    <t>Tilgungsfrei (J.)</t>
  </si>
  <si>
    <t>Bankdarlehen</t>
  </si>
  <si>
    <t>KfW ERP-Digitalisierungskredit</t>
  </si>
  <si>
    <t>Betriebsmittelkredit Mittelstand</t>
  </si>
  <si>
    <t>Anschaffungsdarlehen Maschinen</t>
  </si>
  <si>
    <t>Linear</t>
  </si>
  <si>
    <t>Erweiterungskredit Standort 2</t>
  </si>
  <si>
    <t>VII. Zentrale Stellgrößen</t>
  </si>
  <si>
    <t>Steuersatz (%)</t>
  </si>
  <si>
    <t>Kundenforderungen DSO (Tage)</t>
  </si>
  <si>
    <t>Lagerbestand DIO (Tage)</t>
  </si>
  <si>
    <t>Lieferantenverbindlichkeiten DPO (Tage)</t>
  </si>
  <si>
    <t>Zinssatz Liquidität</t>
  </si>
  <si>
    <t>Materialeinsatz</t>
  </si>
  <si>
    <t>Materialsteigerung p.a.</t>
  </si>
  <si>
    <t>VIII. Szenario-Annahmen</t>
  </si>
  <si>
    <t>Best Case — Umsatz</t>
  </si>
  <si>
    <t>Best Case — Kosten</t>
  </si>
  <si>
    <t>Worst Case — Umsatz</t>
  </si>
  <si>
    <t>Worst Case — Kosten</t>
  </si>
  <si>
    <t>Umsatzerlöse</t>
  </si>
  <si>
    <t>Steigung pro Jahr</t>
  </si>
  <si>
    <t>Jan 2026</t>
  </si>
  <si>
    <t>Feb 2026</t>
  </si>
  <si>
    <t>Mär 2026</t>
  </si>
  <si>
    <t>Apr 2026</t>
  </si>
  <si>
    <t>Mai 2026</t>
  </si>
  <si>
    <t>Jun 2026</t>
  </si>
  <si>
    <t>Jul 2026</t>
  </si>
  <si>
    <t>Aug 2026</t>
  </si>
  <si>
    <t>Sep 2026</t>
  </si>
  <si>
    <t>Okt 2026</t>
  </si>
  <si>
    <t>Nov 2026</t>
  </si>
  <si>
    <t>Dez 2026</t>
  </si>
  <si>
    <t>GJ 2026</t>
  </si>
  <si>
    <t>Jan 2027</t>
  </si>
  <si>
    <t>Feb 2027</t>
  </si>
  <si>
    <t>Mär 2027</t>
  </si>
  <si>
    <t>Apr 2027</t>
  </si>
  <si>
    <t>Mai 2027</t>
  </si>
  <si>
    <t>Jun 2027</t>
  </si>
  <si>
    <t>Jul 2027</t>
  </si>
  <si>
    <t>Aug 2027</t>
  </si>
  <si>
    <t>Sep 2027</t>
  </si>
  <si>
    <t>Okt 2027</t>
  </si>
  <si>
    <t>Nov 2027</t>
  </si>
  <si>
    <t>Dez 2027</t>
  </si>
  <si>
    <t>GJ 2027</t>
  </si>
  <si>
    <t>Jan 2028</t>
  </si>
  <si>
    <t>Feb 2028</t>
  </si>
  <si>
    <t>Mär 2028</t>
  </si>
  <si>
    <t>Apr 2028</t>
  </si>
  <si>
    <t>Mai 2028</t>
  </si>
  <si>
    <t>Jun 2028</t>
  </si>
  <si>
    <t>Jul 2028</t>
  </si>
  <si>
    <t>Aug 2028</t>
  </si>
  <si>
    <t>Sep 2028</t>
  </si>
  <si>
    <t>Okt 2028</t>
  </si>
  <si>
    <t>Nov 2028</t>
  </si>
  <si>
    <t>Dez 2028</t>
  </si>
  <si>
    <t>GJ 2028</t>
  </si>
  <si>
    <t>Einmalig</t>
  </si>
  <si>
    <t>Umsatzerlöse (Summe)</t>
  </si>
  <si>
    <t xml:space="preserve"> </t>
  </si>
  <si>
    <t>Personalkosten</t>
  </si>
  <si>
    <t>GF-Gehalt (EUR)</t>
  </si>
  <si>
    <t>Personalkosten übriges Personal (EUR)</t>
  </si>
  <si>
    <t>Personalkosten gesamt</t>
  </si>
  <si>
    <t>Betriebskosten (EUR/Jahr)</t>
  </si>
  <si>
    <t>Betriebskosten gesamt</t>
  </si>
  <si>
    <t>Materialaufwand (Berechnung)</t>
  </si>
  <si>
    <t>Materialaufwand gesamt</t>
  </si>
  <si>
    <t>Investition &amp; Abschreibung</t>
  </si>
  <si>
    <t>CapEx (EUR)</t>
  </si>
  <si>
    <t>Abschreibungen (EUR/Jahr)</t>
  </si>
  <si>
    <t>Finanzierung – Zahlungsströme</t>
  </si>
  <si>
    <t>Kreditaufnahme (EUR)</t>
  </si>
  <si>
    <t>Tilgung neuer Kredit (EUR)</t>
  </si>
  <si>
    <t>Tilgung Altdarlehen (Kapital, EUR)</t>
  </si>
  <si>
    <t>Zinsaufwand geplant (EUR)</t>
  </si>
  <si>
    <t>Gesellschafterausschüttungen (EUR/Jahr)</t>
  </si>
  <si>
    <t>Sonderpositionen</t>
  </si>
  <si>
    <t>Sonstige Erträge</t>
  </si>
  <si>
    <t>Sonstige Finanzierung</t>
  </si>
  <si>
    <t>Sonstige Investition</t>
  </si>
  <si>
    <t>Anlagenabgang (Buchwert)</t>
  </si>
  <si>
    <t>EK-Zugang (Sonder)</t>
  </si>
  <si>
    <t>Individuelle Kosten</t>
  </si>
  <si>
    <t>Individuelle Kosten (Summe)</t>
  </si>
  <si>
    <t>IX. Eröffnungsbilanz (Periode 0)</t>
  </si>
  <si>
    <t>Liquidität</t>
  </si>
  <si>
    <t>Forderungen LuL</t>
  </si>
  <si>
    <t>Vorräte</t>
  </si>
  <si>
    <t>Sachanlagen</t>
  </si>
  <si>
    <t>Verbindlichkeiten LuL</t>
  </si>
  <si>
    <t>Finanzschulden</t>
  </si>
  <si>
    <t>Gezeichnetes Kapital</t>
  </si>
  <si>
    <t>Gewinnrücklagen (Plug)</t>
  </si>
  <si>
    <t>Basisumsatz (Vorperiode)</t>
  </si>
  <si>
    <t>Gewinn- und Verlustrechnung</t>
  </si>
  <si>
    <t>in EUR · Stand: 21.07.2026</t>
  </si>
  <si>
    <t>Ist GJ 2023</t>
  </si>
  <si>
    <t>Ist GJ 2024</t>
  </si>
  <si>
    <t>Ist GJ 2025</t>
  </si>
  <si>
    <t>Plan GJ 2026</t>
  </si>
  <si>
    <t>Plan GJ 2027</t>
  </si>
  <si>
    <t>Plan GJ 2028</t>
  </si>
  <si>
    <t xml:space="preserve">    SaaS Plattform-Lizenzen (MRR)</t>
  </si>
  <si>
    <t xml:space="preserve">    API-Zugangslizenzen (Pay-per-Use)</t>
  </si>
  <si>
    <t xml:space="preserve">    Managed Services &amp; Support (SLA)</t>
  </si>
  <si>
    <t xml:space="preserve">    Datenanalyse &amp; Reporting (Add-on)</t>
  </si>
  <si>
    <t xml:space="preserve">    White-Label Partnerprogramm</t>
  </si>
  <si>
    <t xml:space="preserve">    Hardware-Reselling (Server/Clients)</t>
  </si>
  <si>
    <t xml:space="preserve">    Consulting &amp; Strategieberatung</t>
  </si>
  <si>
    <t xml:space="preserve">    Migrationsprojekt Bestandskunde Alpha</t>
  </si>
  <si>
    <t xml:space="preserve">    Einmalige Lizenzgebühr Enterprise-Vertrag</t>
  </si>
  <si>
    <t xml:space="preserve">    Enterprise On-Premise Lizenzen</t>
  </si>
  <si>
    <t xml:space="preserve">    Implementierung &amp; Customizing</t>
  </si>
  <si>
    <t xml:space="preserve">    Schulungen &amp; Zertifizierungen</t>
  </si>
  <si>
    <t>Materialaufwand</t>
  </si>
  <si>
    <t>Rohertrag</t>
  </si>
  <si>
    <t>Sonstige betriebliche Erträge</t>
  </si>
  <si>
    <t>Personalaufwand</t>
  </si>
  <si>
    <t xml:space="preserve">    GF-Gehalt</t>
  </si>
  <si>
    <t xml:space="preserve">    Löhne &amp; Gehälter</t>
  </si>
  <si>
    <t xml:space="preserve">        Software-Entwicklung (Backend)</t>
  </si>
  <si>
    <t xml:space="preserve">        Software-Entwicklung (Frontend)</t>
  </si>
  <si>
    <t xml:space="preserve">        DevOps &amp; Cloud Engineering</t>
  </si>
  <si>
    <t xml:space="preserve">        Data Science &amp; Analytics</t>
  </si>
  <si>
    <t xml:space="preserve">        Produktmanagement</t>
  </si>
  <si>
    <t xml:space="preserve">        Vertrieb &amp; Account Management</t>
  </si>
  <si>
    <t xml:space="preserve">        Customer Success &amp; Support</t>
  </si>
  <si>
    <t xml:space="preserve">        Verwaltung, HR &amp; Finance</t>
  </si>
  <si>
    <t>Sonstige betriebliche Aufwendungen</t>
  </si>
  <si>
    <t xml:space="preserve">    Miete</t>
  </si>
  <si>
    <t xml:space="preserve">    Marketing</t>
  </si>
  <si>
    <t xml:space="preserve">    IT &amp; Software</t>
  </si>
  <si>
    <t xml:space="preserve">    Versicherungen</t>
  </si>
  <si>
    <t xml:space="preserve">    Sonstiges</t>
  </si>
  <si>
    <t xml:space="preserve">    Leasingraten Fuhrpark</t>
  </si>
  <si>
    <t xml:space="preserve">    Externe Buchhaltung &amp; Steuerberatung</t>
  </si>
  <si>
    <t xml:space="preserve">    Recruiting &amp; Headhunting</t>
  </si>
  <si>
    <t xml:space="preserve">    Reisekosten &amp; Spesen</t>
  </si>
  <si>
    <t xml:space="preserve">    Weiterbildung &amp; Konferenzen</t>
  </si>
  <si>
    <t xml:space="preserve">    Softwarelizenzen (Drittanbieter)</t>
  </si>
  <si>
    <t xml:space="preserve">    Messeauftritte &amp; Events</t>
  </si>
  <si>
    <t xml:space="preserve">    Patentkosten &amp; IP-Schutz</t>
  </si>
  <si>
    <t xml:space="preserve">    Coworking Satellitenbüro Berlin</t>
  </si>
  <si>
    <t xml:space="preserve">    Saisonale Werbekampagne</t>
  </si>
  <si>
    <t xml:space="preserve">    Messe &amp; Konferenzteilnahme</t>
  </si>
  <si>
    <t xml:space="preserve">    Markteintrittskampagne UK</t>
  </si>
  <si>
    <t xml:space="preserve">    ISO-Zertifizierung</t>
  </si>
  <si>
    <t>EBITDA</t>
  </si>
  <si>
    <t>Abschreibungen</t>
  </si>
  <si>
    <t>EBIT</t>
  </si>
  <si>
    <t>Zinsaufwand</t>
  </si>
  <si>
    <t>Zinsertrag</t>
  </si>
  <si>
    <t>Ergebnis vor Steuern</t>
  </si>
  <si>
    <t>Ertragsteuern</t>
  </si>
  <si>
    <t>Jahresüberschuss</t>
  </si>
  <si>
    <t>Kennzahlen zur Ertragslage</t>
  </si>
  <si>
    <t xml:space="preserve">    Rohertragsmarge</t>
  </si>
  <si>
    <t xml:space="preserve">    EBITDA-Marge</t>
  </si>
  <si>
    <t xml:space="preserve">    EBIT-Marge</t>
  </si>
  <si>
    <t xml:space="preserve">    Umsatzrendite</t>
  </si>
  <si>
    <t xml:space="preserve">    Materialaufwandsquote</t>
  </si>
  <si>
    <t xml:space="preserve">    Personalaufwandsquote</t>
  </si>
  <si>
    <t>Kapitalflussrechnung</t>
  </si>
  <si>
    <t>+ Abschreibungen</t>
  </si>
  <si>
    <t>− Δ Forderungen</t>
  </si>
  <si>
    <t>− Δ Vorräte</t>
  </si>
  <si>
    <t>+ Δ Verbindlichkeiten</t>
  </si>
  <si>
    <t>Cashflow aus operativer Tätigkeit</t>
  </si>
  <si>
    <t>− Investitionen (CapEx)</t>
  </si>
  <si>
    <t>+ Sonstige Investitionstätigkeit</t>
  </si>
  <si>
    <t>Cashflow aus Investitionstätigkeit</t>
  </si>
  <si>
    <t>+ Kreditaufnahme</t>
  </si>
  <si>
    <t>− Tilgung geplante Kredite</t>
  </si>
  <si>
    <t>− Tilgung laufende Kredite</t>
  </si>
  <si>
    <t>− Gesellschafterausschüttungen</t>
  </si>
  <si>
    <t>Eigenkapitalbewegungen</t>
  </si>
  <si>
    <t>+ Sonstige Finanzierung</t>
  </si>
  <si>
    <t>Cashflow aus Finanzierungstätigkeit</t>
  </si>
  <si>
    <t>Veränderung Liquidität</t>
  </si>
  <si>
    <t>Anfangsbestand Liquidität</t>
  </si>
  <si>
    <t>Endbestand Liquidität</t>
  </si>
  <si>
    <t>Kennzahlen zur Finanzlage</t>
  </si>
  <si>
    <t xml:space="preserve">    Free Cash Flow (operativer Cashflow − Investitionen)</t>
  </si>
  <si>
    <t xml:space="preserve">    Kumulierter Free Cash Flow</t>
  </si>
  <si>
    <t>Bilanz</t>
  </si>
  <si>
    <t>Aktiva</t>
  </si>
  <si>
    <t>Eröffnung</t>
  </si>
  <si>
    <t>Summe Aktiva</t>
  </si>
  <si>
    <t>Passiva</t>
  </si>
  <si>
    <t>Summe Verbindlichkeiten</t>
  </si>
  <si>
    <t>Gewinnrücklagen</t>
  </si>
  <si>
    <t>Summe Eigenkapital</t>
  </si>
  <si>
    <t>Summe Passiva</t>
  </si>
  <si>
    <t>Bilanzcheck (=0)</t>
  </si>
  <si>
    <t>Tilgungspläne</t>
  </si>
  <si>
    <t>1. Gesamtübersicht — alle Kredite</t>
  </si>
  <si>
    <t>Auszahlungen gesamt</t>
  </si>
  <si>
    <t>Zinsen gesamt</t>
  </si>
  <si>
    <t>Tilgung laufende Kredite</t>
  </si>
  <si>
    <t>Tilgung geplante Kredite</t>
  </si>
  <si>
    <t>Restschuld gesamt</t>
  </si>
  <si>
    <t>2. Laufende Kredite</t>
  </si>
  <si>
    <t>Zins 3,80 %   ·   Restlaufzeit 4 J.</t>
  </si>
  <si>
    <t>Anfangsbestand</t>
  </si>
  <si>
    <t>Zinsen</t>
  </si>
  <si>
    <t>Tilgung</t>
  </si>
  <si>
    <t>Endbestand</t>
  </si>
  <si>
    <t>Zins 4,20 %   ·   Restlaufzeit 3 J.</t>
  </si>
  <si>
    <t>Zins 4,50 %   ·   Restlaufzeit 5 J.</t>
  </si>
  <si>
    <t>Zins 5,10 %   ·   Restlaufzeit 3 J.</t>
  </si>
  <si>
    <t>Zins 6,00 %   ·   Restlaufzeit 6 J.</t>
  </si>
  <si>
    <t>Zins 3,25 %   ·   Restlaufzeit 5 J.</t>
  </si>
  <si>
    <t>Zins 4,75 %   ·   Restlaufzeit 4 J.</t>
  </si>
  <si>
    <t>3. Geplante Kredite</t>
  </si>
  <si>
    <t>Auszahlung: Jan 2026   ·   Zins 4,85 %   ·   Laufzeit 7 J. (1 J. tilgungsfrei)</t>
  </si>
  <si>
    <t>Auszahlung</t>
  </si>
  <si>
    <t>Auszahlung: Mär 2026   ·   Zins 3,20 %   ·   Laufzeit 5 J. (1 J. tilgungsfrei)</t>
  </si>
  <si>
    <t>Auszahlung: Mai 2026   ·   Zins 4,95 %   ·   Laufzeit 3 J.</t>
  </si>
  <si>
    <t>Auszahlung: Jan 2027   ·   Zins 4,20 %   ·   Laufzeit 6 J.</t>
  </si>
  <si>
    <t>Auszahlung: Mär 2028   ·   Zins 4,40 %   ·   Laufzeit 4 J.</t>
  </si>
  <si>
    <t>Hinweis: Bei Krediten, deren letzte Rate außerhalb des Modellhorizonts (2026–2028) liegt, kann am Plan-Ende eine Restschuld verbleiben.</t>
  </si>
  <si>
    <t>4. Monatliche Kreditplanung (Berechnungsgrundlage)</t>
  </si>
  <si>
    <t>Quelle aller Kredit-Cashflows in Annahmen, GuV, Kapitalflussrechnung, Bilanz und den Tilgungsplänen oben.</t>
  </si>
  <si>
    <t>Σ 2026–2028</t>
  </si>
  <si>
    <t>Auszahlungen</t>
  </si>
  <si>
    <t>Restschuld</t>
  </si>
  <si>
    <t>Kontrollrechnung (Modell-Interna — Sollwert: 0)</t>
  </si>
  <si>
    <t>CF-Check (BS Kasse − CF Endbestand)</t>
  </si>
  <si>
    <t>Schulden-Rollforward-Check</t>
  </si>
  <si>
    <t>Debt-Tie-Out (BS − Tilgungspläne)</t>
  </si>
  <si>
    <t>Szenarioanalyse</t>
  </si>
  <si>
    <t>Kennzahl</t>
  </si>
  <si>
    <t>GuV-Kennzahlen</t>
  </si>
  <si>
    <t>Optimistisch</t>
  </si>
  <si>
    <t>Basisplan</t>
  </si>
  <si>
    <t>Konservativ</t>
  </si>
  <si>
    <t>Umsatz</t>
  </si>
  <si>
    <t>EBITDA-Marge</t>
  </si>
  <si>
    <t>Schuldendienst &amp; Liquidität</t>
  </si>
  <si>
    <t>DSCR</t>
  </si>
  <si>
    <t>Eigenkapitalquote</t>
  </si>
  <si>
    <t>Sensitivitätsanalyse — EBITDA Jahr 1</t>
  </si>
  <si>
    <t>Umsatz → / Kosten o. Personal ↓</t>
  </si>
  <si>
    <t>-20%</t>
  </si>
  <si>
    <t>-15%</t>
  </si>
  <si>
    <t>-10%</t>
  </si>
  <si>
    <t>-5%</t>
  </si>
  <si>
    <t>+0%</t>
  </si>
  <si>
    <t>+5%</t>
  </si>
  <si>
    <t>+10%</t>
  </si>
  <si>
    <t>Kosten -10%</t>
  </si>
  <si>
    <t>Kosten -5%</t>
  </si>
  <si>
    <t>Kosten +0%</t>
  </si>
  <si>
    <t>Kosten +5%</t>
  </si>
  <si>
    <t>Kosten +10%</t>
  </si>
  <si>
    <t>Kosten +15%</t>
  </si>
  <si>
    <t>Methodik</t>
  </si>
  <si>
    <t>So lesen Sie diese Analyse: Die Szenarien zeigen, wie robust der Plan auf bessere oder schwächere Geschäftsentwicklung reagiert. Umsatz und Betriebskosten (ohne Personal) werden gegenüber dem Basisplan um die in den Annahmen hinterlegten Prozentsätze verändert; Jahresüberschuss, DSCR und EK-Quote werden daraus nach Steuern fortgeschrieben. Die Sensitivitätstabelle ergänzt den Blick auf Jahr 1: Sie zeigt das EBITDA für jede Kombination aus Umsatz- und Kostenabweichung. Maßgeblich für die Kreditentscheidung bleibt der vollständig durchgerechnete Basisplan (GuV, Kapitalflussrechnung, Bilanz) — die Szenarien ordnen ihn ein.</t>
  </si>
  <si>
    <t>Kennzahlen</t>
  </si>
  <si>
    <t>Ertragskraft</t>
  </si>
  <si>
    <t>Umsatzrendite (Jahresüberschuss ÷ Umsatz)</t>
  </si>
  <si>
    <t>Rohertragsmarge (Rohertrag ÷ Umsatz)</t>
  </si>
  <si>
    <t>Eigenkapitalrendite (Jahresüberschuss ÷ Eigenkapital)</t>
  </si>
  <si>
    <t>Gesamtkapitalrendite ((JÜ + Zinsen) ÷ Bilanzsumme)</t>
  </si>
  <si>
    <t>Finanzstruktur</t>
  </si>
  <si>
    <t>Eigenkapitalquote (Eigenkapital ÷ Bilanzsumme)</t>
  </si>
  <si>
    <t>Verschuldungsgrad (Fremdkapital ÷ Eigenkapital)</t>
  </si>
  <si>
    <t>Anlagendeckungsgrad II ((EK + Finanzschulden) ÷ Anlagevermögen)</t>
  </si>
  <si>
    <t>Anlagenintensität (Anlagevermögen ÷ Bilanzsumme)</t>
  </si>
  <si>
    <t>Liquiditätsgrad 2 ((Kasse + Forderungen) ÷ kurzfr. Verbindlichkeiten)</t>
  </si>
  <si>
    <t>Liquiditätsgrad 3 ((+ Vorräte) ÷ kurzfr. Verbindlichkeiten)</t>
  </si>
  <si>
    <t>Free Cash Flow (operativer CF + Investitions-CF)</t>
  </si>
  <si>
    <t>Liquiditätsreichweite (Kasse ÷ monatl. Betriebskosten)</t>
  </si>
  <si>
    <t>Working Capital</t>
  </si>
  <si>
    <t>Forderungslaufzeit DSO (Forderungen ÷ Umsatz × 365)</t>
  </si>
  <si>
    <t>Lagerdauer DIO (Vorräte ÷ Materialaufwand × 365)</t>
  </si>
  <si>
    <t>Lieferantenziel DPO (Verbindlichkeiten ÷ Materialaufwand × 365)</t>
  </si>
  <si>
    <t>Cash Conversion Cycle (DSO + DIO − DPO)</t>
  </si>
  <si>
    <t>Kapitalumschlag (Umsatz ÷ Bilanzsumme)</t>
  </si>
  <si>
    <t>Ist-Kennzahlen basieren auf den erfassten Ist-Jahren; Plan-Kennzahlen auf dem Basisplan. n/a = Nenner null oder negativ (nicht interpretierbar).</t>
  </si>
  <si>
    <t>Covenant-Dashboard</t>
  </si>
  <si>
    <t>Schwellenwerte frei editierbar (blau) — banküblich vorbelegt. Keine automatische Bewertung; maßgeblich sind die Covenants Ihres Kreditvertrags.</t>
  </si>
  <si>
    <t>Schwelle</t>
  </si>
  <si>
    <t>DSCR (EBITDA / Kapitaldienst)</t>
  </si>
  <si>
    <t xml:space="preserve">    Abstand zur Schwelle</t>
  </si>
  <si>
    <t>Zinsdeckungsgrad (EBIT / Zinsaufwand)</t>
  </si>
  <si>
    <t>Eigenkapitalquote (EK / Bilanzsumme)</t>
  </si>
  <si>
    <t>Verschuldungsgrad (Fremdkapital / Eigenkapital)</t>
  </si>
  <si>
    <t>Nettoverschuldung / EBITDA (Entschuldungsdauer, Jahre)</t>
  </si>
  <si>
    <t>Anlagendeckungsgrad II (goldene Bilanzregel)</t>
  </si>
  <si>
    <t>Mindestliquidität (Kasse und Bank zum Jahresende)</t>
  </si>
  <si>
    <r>
      <rPr>
        <b/>
        <color rgb="FF000000"/>
        <sz val="10"/>
        <rFont val="Arial"/>
      </rPr>
      <t>DSCR</t>
    </r>
    <r>
      <rPr>
        <color rgb="FF000000"/>
        <sz val="10"/>
        <rFont val="Arial"/>
      </rPr>
      <t xml:space="preserve"> = EBITDA ÷ Kapitaldienst (Zinsen + Tilgung)</t>
    </r>
  </si>
  <si>
    <r>
      <rPr>
        <b/>
        <color rgb="FF000000"/>
        <sz val="10"/>
        <rFont val="Arial"/>
      </rPr>
      <t>Zinsdeckungsgrad</t>
    </r>
    <r>
      <rPr>
        <color rgb="FF000000"/>
        <sz val="10"/>
        <rFont val="Arial"/>
      </rPr>
      <t xml:space="preserve"> = EBIT ÷ Zinsaufwand</t>
    </r>
  </si>
  <si>
    <r>
      <rPr>
        <b/>
        <color rgb="FF000000"/>
        <sz val="10"/>
        <rFont val="Arial"/>
      </rPr>
      <t>Eigenkapitalquote</t>
    </r>
    <r>
      <rPr>
        <color rgb="FF000000"/>
        <sz val="10"/>
        <rFont val="Arial"/>
      </rPr>
      <t xml:space="preserve"> = Eigenkapital ÷ Bilanzsumme</t>
    </r>
  </si>
  <si>
    <r>
      <rPr>
        <b/>
        <color rgb="FF000000"/>
        <sz val="10"/>
        <rFont val="Arial"/>
      </rPr>
      <t>Verschuldungsgrad</t>
    </r>
    <r>
      <rPr>
        <color rgb="FF000000"/>
        <sz val="10"/>
        <rFont val="Arial"/>
      </rPr>
      <t xml:space="preserve"> = (Verbindlichkeiten + Finanzschulden) ÷ Eigenkapital, n/a bei Eigenkapital ≤ 0</t>
    </r>
  </si>
  <si>
    <r>
      <rPr>
        <b/>
        <color rgb="FF000000"/>
        <sz val="10"/>
        <rFont val="Arial"/>
      </rPr>
      <t>Nettoverschuldung ÷ EBITDA</t>
    </r>
    <r>
      <rPr>
        <color rgb="FF000000"/>
        <sz val="10"/>
        <rFont val="Arial"/>
      </rPr>
      <t xml:space="preserve"> = (Finanzschulden − Liquidität) ÷ EBITDA — negativ = Nettoliquidität, n/a bei EBITDA ≤ 0</t>
    </r>
  </si>
  <si>
    <r>
      <rPr>
        <b/>
        <color rgb="FF000000"/>
        <sz val="10"/>
        <rFont val="Arial"/>
      </rPr>
      <t>Anlagendeckungsgrad II</t>
    </r>
    <r>
      <rPr>
        <color rgb="FF000000"/>
        <sz val="10"/>
        <rFont val="Arial"/>
      </rPr>
      <t xml:space="preserve"> = (Eigenkapital + Finanzschulden) ÷ Anlagevermögen (goldene Bilanzregel)</t>
    </r>
  </si>
  <si>
    <r>
      <rPr>
        <b/>
        <color rgb="FF000000"/>
        <sz val="10"/>
        <rFont val="Arial"/>
      </rPr>
      <t>Mindestliquidität</t>
    </r>
    <r>
      <rPr>
        <color rgb="FF000000"/>
        <sz val="10"/>
        <rFont val="Arial"/>
      </rPr>
      <t xml:space="preserve"> = Kassenbestand und Bankguthaben laut Planbilanz zum Jahresende</t>
    </r>
  </si>
  <si>
    <r>
      <rPr>
        <b/>
        <color rgb="FF000000"/>
        <sz val="10"/>
        <rFont val="Arial"/>
      </rPr>
      <t>Abstand zur Schwelle</t>
    </r>
    <r>
      <rPr>
        <color rgb="FF000000"/>
        <sz val="10"/>
        <rFont val="Arial"/>
      </rPr>
      <t xml:space="preserve"> = Wert − Schwelle (bei Obergrenzen umgekehrt); positiv = Covenant eingehalten</t>
    </r>
  </si>
  <si>
    <t>PLANVIK_DATA_V1</t>
  </si>
  <si>
    <t>de</t>
  </si>
  <si>
    <t>{"d":{"co_name":"Demo GmbH","co_street":"Musterstraße 42","co_country":"Deutschland","co_zip":"80331","co_city":"München","co_industry":"IT-Dienstleistungen &amp; SaaS","co_founded":"2020-03-01","co_hr":"HRB 245891","co_court":"Amtsgericht München","co_vat":"DE312456789","co_web":"www.demo-gmbh.de","gf_name":"Anna Mustermann","gf_mail":"mustermann@demo-gmbh.de","gf_phone":"+49 89 1234 5678","gf_birthdate":"1985-06-15","gf_birthplace":"München","gf_id":"T220018734","loan_amount":2400000,"loan_term":"7","loan_rate":"4.85","loan_purpose":"Wachstum / Expansion","loan_start":"2026-01-01","loan_amort":"Annuität","loan_grace":"1","loan_equity":0,"rev_mode":"detail","rev_name_1":"SaaS Plattform-Lizenzen (MRR)","rev_price_1":"149","rev_qty_1":"5500","rev_growth_1":"22","rev_season_1":"equal","rev_name_2":"Enterprise On-Premise Lizenzen","rev_price_2":"28.000","rev_qty_2":"0","rev_growth_2":"10","rev_season_2":"custom","rev_name_3":"API-Zugangslizenzen (Pay-per-Use)","rev_price_3":"89","rev_qty_3":"2500","rev_growth_3":"35","rev_season_3":"equal","rev_name_4":"Implementierung &amp; Customizing","rev_price_4":"9.500","rev_qty_4":"0","rev_growth_4":"12","rev_season_4":"custom","rev_name_5":"Managed Services &amp; Support (SLA)","rev_price_5":"1.450","rev_qty_5":"420","rev_growth_5":"18","rev_season_5":"equal","rev_name_6":"Schulungen &amp; Zertifizierungen","rev_price_6":"3.800","rev_qty_6":"0","rev_growth_6":"8","rev_season_6":"custom","rev_name_7":"Datenanalyse &amp; Reporting (Add-on)","rev_price_7":"299","rev_qty_7":"1400","rev_growth_7":"28","rev_season_7":"equal","rev_name_8":"White-Label Partnerprogramm","rev_price_8":"12.000","rev_qty_8":"8","rev_growth_8":"40","rev_season_8":"equal","rev_name_9":"Hardware-Reselling (Server/Clients)","rev_price_9":"4.200","rev_qty_9":"120","rev_growth_9":"5","rev_season_9":"equal","rev_name_10":"Consulting &amp; Strategieberatung","rev_price_10":"18.500","rev_qty_10":"36","rev_growth_10":"15","rev_season_10":"equal","rev_name_11":"Migrationsprojekt Bestandskunde Alpha","rev_price_11":"1","rev_qty_11":"0","rev_growth_11":"0","rev_season_11":"equal","rev_name_12":"Einmalige Lizenzgebühr Enterprise-Vertrag","rev_price_12":"1","rev_qty_12":"0","rev_growth_12":"0","rev_season_12":"equal","mat_pct":"22","mat_escalation":"","gf_count":"2","gf_salary":145000,"gf_escalation":"3","employer_surcharge":"21","rent_annual":108000,"energy_annual":14400,"marketing_annual":144000,"it_annual":72000,"insurance_annual":24000,"legal_annual":36000,"vehicles_annual":18000,"other_opex_annual":42000,"opex_escalation":"3","ec_name_1":"Leasingraten Fuhrpark","ec_amount_1":"36.000","ec_growth_1":"2","ec_season_1":"equal","ec_name_2":"Externe Buchhaltung &amp; Steuerberatung","ec_amount_2":"28.000","ec_growth_2":"3","ec_season_2":"equal","ec_name_3":"Recruiting &amp; Headhunting","ec_amount_3":"45.000","ec_growth_3":"10","ec_season_3":"equal","ec_name_4":"Reisekosten &amp; Spesen","ec_amount_4":"32.000","ec_growth_4":"5","ec_season_4":"equal","ec_name_5":"Weiterbildung &amp; Konferenzen","ec_amount_5":"18.000","ec_growth_5":"4","ec_season_5":"equal","ec_name_6":"Softwarelizenzen (Drittanbieter)","ec_amount_6":"54.000","ec_growth_6":"8","ec_season_6":"equal","ec_name_7":"Messeauftritte &amp; Events","ec_amount_7":"42.000","ec_growth_7":"6","ec_season_7":"equal","ec_name_8":"Patentkosten &amp; IP-Schutz","ec_amount_8":"15.000","ec_growth_8":"0","ec_season_8":"equal","ec_name_9":"Coworking Satellitenbüro Berlin","ec_amount_9":"24.000","ec_growth_9":"3","ec_season_9":"equal","ec_name_10":"Saisonale Werbekampagne","ec_amount_10":"110.000","ec_growth_10":"5","ec_season_10":"custom","ec_name_11":"Messe &amp; Konferenzteilnahme","ec_amount_11":"78.000","ec_growth_11":"3","ec_season_11":"custom","ec_name_12":"Markteintrittskampagne UK","ec_amount_12":"0","ec_growth_12":"0","ec_season_12":"equal","ec_name_13":"ISO-Zertifizierung","ec_amount_13":"0","ec_growth_13":"0","ec_season_13":"equal","balance_date":"","bs_cash":420000,"opening_ar":380000,"opening_inv":55000,"bs_ppe":340000,"bs_other_assets":0,"bs_equity":680000,"bs_provisions":0,"opening_ap":165000,"inv_name_1":"Cloud-Infrastruktur (AWS/Azure Migration)","inv_amount_1":"220.000","inv_dep_1":"5","inv_month_1":"2","inv_year_1":"2026","inv_name_2":"SaaS-Plattform v3.0 Rewrite (Phase 1)","inv_amount_2":"280.000","inv_dep_2":"3","inv_month_2":"4","inv_year_2":"2026","inv_name_3":"Büroumbau &amp; Erweiterung 2. OG","inv_amount_3":"135.000","inv_dep_3":"10","inv_month_3":"6","inv_year_3":"2026","inv_name_4":"Firmenwagen Fuhrpark (1x)","inv_amount_4":"55.000","inv_dep_4":"6","inv_month_4":"9","inv_year_4":"2026","inv_name_5":"KI/ML-Infrastruktur (GPU-Cluster)","inv_amount_5":"195.000","inv_dep_5":"4","inv_month_5":"1","inv_year_5":"2027","inv_name_6":"CRM &amp; ERP System (Salesforce/SAP)","inv_amount_6":"88.000","inv_dep_6":"5","inv_month_6":"5","inv_year_6":"2027","inv_name_7":"Messebau &amp; Demo-Equipment","inv_amount_7":"45.000","inv_dep_7":"3","inv_month_7":"11","inv_year_7":"2027","inv_name_8":"Ergonomische Arbeitsplätze (50 Stk)","inv_amount_8":"62.000","inv_dep_8":"8","inv_month_8":"3","inv_year_8":"2028","div_flat":"","div_month":"6","tax_rate":"30","int_cash_rate":"1.5","int_cash_share":"","wc_pct":12.32876712328767,"inv_pct":5.47945205479452,"ap_pct":9.58904109589041,"scenario_enabled":"true","scenario_best_rev":"18","scenario_best_cost":"-10","scenario_worst_rev":"-25","scenario_worst_cost":"15","hist_count":"3","plan_tier":"premium","plan_horizon":"3","plan_freq":"M","_logo_data":"","_logo_w":"","_logo_h":"","_touched":{},"_logo":null,"_managers":[{"name":"Dr. Thomas Berg","birthdate":"1978-03-22","birthplace":"Stuttgart","id":"L01X00T47"}],"rev_last":4686404,"bs_re":0,"div_annual":0,"_dso":45,"_dio":20,"_dpo":35,"loan_year0":2026,"_plan":"premium","_plan_years":3,"_rev_lines":[{"name":"SaaS Plattform-Lizenzen (MRR)","price":149,"qty":5500,"total":819500,"growth":22,"season":"equal","customQtys":null,"customMode":null,"onetime":false,"otYearData":null,"startMonth":1,"startYear":2026},{"name":"API-Zugangslizenzen (Pay-per-Use)","price":89,"qty":2500,"total":222500,"growth":35,"season":"equal","customQtys":null,"customMode":null,"onetime":false,"otYearData":null,"startMonth":1,"startYear":2026},{"name":"Managed Services &amp; Support (SLA)","price":1450,"qty":420,"total":609000,"growth":18,"season":"equal","customQtys":null,"customMode":null,"onetime":false,"otYearData":null,"startMonth":1,"startYear":2026},{"name":"Datenanalyse &amp; Reporting (Add-on)","price":299,"qty":1400,"total":418600,"growth":28,"season":"equal","customQtys":null,"customMode":null,"onetime":false,"otYearData":null,"startMonth":1,"startYear":2026},{"name":"White-Label Partnerprogramm","price":12000,"qty":8,"total":96000,"growth":40,"season":"equal","customQtys":null,"customMode":null,"onetime":false,"otYearData":null,"startMonth":1,"startYear":2026},{"name":"Hardware-Reselling (Server/Clients)","price":4200,"qty":120,"total":504000,"growth":5,"season":"equal","customQtys":null,"customMode":null,"onetime":false,"otYearData":null,"startMonth":1,"startYear":2026},{"name":"Consulting &amp; Strategieberatung","price":18500,"qty":36,"total":666000,"growth":15,"season":"equal","customQtys":null,"customMode":null,"onetime":false,"otYearData":null,"startMonth":1,"startYear":2026},{"name":"Migrationsprojekt Bestandskunde Alpha","price":1,"qty":0,"total":180000,"growth":0,"season":"equal","customQtys":null,"customMode":null,"onetime":true,"otYearData":{"2026":[0,0,0,0,0,0,45000,45000,35000,25000,0,0],"2027":[0,0,0,15000,15000,0,0,0,0,0,0,0]},"startMonth":1,"startYear":2026},{"name":"Einmalige Lizenzgebühr Enterprise-Vertrag","price":1,"qty":0,"total":180000,"growth":0,"season":"equal","customQtys":null,"customMode":null,"onetime":true,"otYearData":{"2027":[0,0,0,0,0,0,0,0,0,0,0,180000]},"startMonth":1,"startYear":2026},{"name":"Enterprise On-Premise Lizenzen","price":28000,"qty":19,"total":532000,"growth":10,"season":"custom","customQtys":[0,0,1,1,1,2,1,1,2,2,3,5],"customMode":"abs","onetime":false,"otYearData":null,"startMonth":1,"startYear":2026},{"name":"Implementierung &amp; Customizing","price":9500,"qty":52,"total":494000,"growth":12,"season":"custom","customQtys":[3,3,4,5,4,5,3,2,4,5,6,8],"customMode":"abs","onetime":false,"otYearData":null,"startMonth":1,"startYear":2026},{"name":"Schulungen &amp; Zertifizierungen","price":3800,"qty":46,"total":174800,"growth":8,"season":"custom","customQtys":[2,3,4,6,5,2,1,1,3,5,6,8],"customMode":"abs","onetime":false,"otYearData":null,"startMonth":1,"startYear":2026}],"rev_growth":17.083083502336656,"_product_monthly":[{"name":"SaaS Plattform-Lizenzen (MRR)","key":"rev_p0","monthly":[68292,68292,68292,68292,68292,68292,68292,68292,68292,68292,68292,68292,83316,83316,83316,83316,83316,83316,83316,83316,83316,83316,83316,83316,101645,101645,101645,101645,101645,101645,101645,101645,101645,101645,101645,101645]},{"name":"API-Zugangslizenzen (Pay-per-Use)","key":"rev_p1","monthly":[18542,18542,18542,18542,18542,18542,18542,18542,18542,18542,18542,18542,25031,25031,25031,25031,25031,25031,25031,25031,25031,25031,25031,25031,33792,33792,33792,33792,33792,33792,33792,33792,33792,33792,33792,33792]},{"name":"Managed Services &amp; Support (SLA)","key":"rev_p2","monthly":[50750,50750,50750,50750,50750,50750,50750,50750,50750,50750,50750,50750,59885,59885,59885,59885,59885,59885,59885,59885,59885,59885,59885,59885,70664,70664,70664,70664,70664,70664,70664,70664,70664,70664,70664,70664]},{"name":"Datenanalyse &amp; Reporting (Add-on)","key":"rev_p3","monthly":[34883,34883,34883,34883,34883,34883,34883,34883,34883,34883,34883,34883,44651,44651,44651,44651,44651,44651,44651,44651,44651,44651,44651,44651,57153,57153,57153,57153,57153,57153,57153,57153,57153,57153,57153,57153]},{"name":"White-Label Partnerprogramm","key":"rev_p4","monthly":[8000,8000,8000,8000,8000,8000,8000,8000,8000,8000,8000,8000,11200,11200,11200,11200,11200,11200,11200,11200,11200,11200,11200,11200,15680,15680,15680,15680,15680,15680,15680,15680,15680,15680,15680,15680]},{"name":"Hardware-Reselling (Server/Clients)","key":"rev_p5","monthly":[42000,42000,42000,42000,42000,42000,42000,42000,42000,42000,42000,42000,44100,44100,44100,44100,44100,44100,44100,44100,44100,44100,44100,44100,46305,46305,46305,46305,46305,46305,46305,46305,46305,46305,46305,46305]},{"name":"Consulting &amp; Strategieberatung","key":"rev_p6","monthly":[55500,55500,55500,55500,55500,55500,55500,55500,55500,55500,55500,55500,63825,63825,63825,63825,63825,63825,63825,63825,63825,63825,63825,63825,73399,73399,73399,73399,73399,73399,73399,73399,73399,73399,73399,73399]},{"name":"Migrationsprojekt Bestandskunde Alpha","key":"rev_p7","monthly":[0,0,0,0,0,0,45000,45000,35000,25000,0,0,0,0,0,15000,15000,0,0,0,0,0,0,0,0,0,0,0,0,0,0,0,0,0,0,0]},{"name":"Einmalige Lizenzgebühr Enterprise-Vertrag","key":"rev_p8","monthly":[0,0,0,0,0,0,0,0,0,0,0,0,0,0,0,0,0,0,0,0,0,0,0,180000,0,0,0,0,0,0,0,0,0,0,0,0]},{"name":"Enterprise On-Premise Lizenzen","key":"rev_p9","monthly":[0,0,28000,28000,28000,56000,28000,28000,56000,56000,84000,140000,0,0,30800,30800,30800,61600,30800,30800,61600,61600,92400,154000,0,0,33880,33880,33880,67760,33880,33880,67760,67760,101640,169400]},{"name":"Implementierung &amp; Customizing","key":"rev_p10","monthly":[28500,28500,38000,47500,38000,47500,28500,19000,38000,47500,57000,76000,31920,31920,42560,53200,42560,53200,31920,21280,42560,53200,63840,85120,35750,35750,47667,59584,47667,59584,35750,23834,47667,59584,71501,95334]},{"name":"Schulungen &amp; Zertifizierungen","key":"rev_p11","monthly":[7600,11400,15200,22800,19000,7600,3800,3800,11400,19000,22800,30400,8208,12312,16416,24624,20520,8208,4104,4104,12312,20520,24624,32832,8865,13297,17729,26594,22162,8865,4432,4432,13297,22162,26594,35459]}],"_monthly_rev":[314067,317867,359167,376267,362967,389067,383267,373767,418367,425467,441767,524367,372136,376240,421784,455632,440888,455016,398832,388192,448480,467328,512872,783960,443253,447685,497914,518696,502347,534847,472700,460784,527362,548144,598373,698831],"_product_cogs":[{"name":"SaaS Plattform-Lizenzen (MRR)","key":"mat_rev_p0","cogs":22,"monthly":[15024.24,15024.24,15024.24,15024.24,15024.24,15024.24,15024.24,15024.24,15024.24,15024.24,15024.24,15024.24,18329.52,18329.52,18329.52,18329.52,18329.52,18329.52,18329.52,18329.52,18329.52,18329.52,18329.52,18329.52,22361.9,22361.9,22361.9,22361.9,22361.9,22361.9,22361.9,22361.9,22361.9,22361.9,22361.9,22361.9],"hasOverride":false,"revKey":"rev_p0"},{"name":"API-Zugangslizenzen (Pay-per-Use)","key":"mat_rev_p1","cogs":22,"monthly":[4079.24,4079.24,4079.24,4079.24,4079.24,4079.24,4079.24,4079.24,4079.24,4079.24,4079.24,4079.24,5506.82,5506.82,5506.82,5506.82,5506.82,5506.82,5506.82,5506.82,5506.82,5506.82,5506.82,5506.82,7434.24,7434.24,7434.24,7434.24,7434.24,7434.24,7434.24,7434.24,7434.24,7434.24,7434.24,7434.24],"hasOverride":false,"revKey":"rev_p1"},{"name":"Managed Services &amp; Support (SLA)","key":"mat_rev_p2","cogs":22,"monthly":[11165,11165,11165,11165,11165,11165,11165,11165,11165,11165,11165,11165,13174.7,13174.7,13174.7,13174.7,13174.7,13174.7,13174.7,13174.7,13174.7,13174.7,13174.7,13174.7,15546.08,15546.08,15546.08,15546.08,15546.08,15546.08,15546.08,15546.08,15546.08,15546.08,15546.08,15546.08],"hasOverride":false,"revKey":"rev_p2"},{"name":"Datenanalyse &amp; Reporting (Add-on)","key":"mat_rev_p3","cogs":22,"monthly":[7674.26,7674.26,7674.26,7674.26,7674.26,7674.26,7674.26,7674.26,7674.26,7674.26,7674.26,7674.26,9823.22,9823.22,9823.22,9823.22,9823.22,9823.22,9823.22,9823.22,9823.22,9823.22,9823.22,9823.22,12573.66,12573.66,12573.66,12573.66,12573.66,12573.66,12573.66,12573.66,12573.66,12573.66,12573.66,12573.66],"hasOverride":false,"revKey":"rev_p3"},{"name":"White-Label Partnerprogramm","key":"mat_rev_p4","cogs":22,"monthly":[1760,1760,1760,1760,1760,1760,1760,1760,1760,1760,1760,1760,2464,2464,2464,2464,2464,2464,2464,2464,2464,2464,2464,2464,3449.6,3449.6,3449.6,3449.6,3449.6,3449.6,3449.6,3449.6,3449.6,3449.6,3449.6,3449.6],"hasOverride":false,"revKey":"rev_p4"},{"name":"Hardware-Reselling (Server/Clients)","key":"mat_rev_p5","cogs":22,"monthly":[9240,9240,9240,9240,9240,9240,9240,9240,9240,9240,9240,9240,9702,9702,9702,9702,9702,9702,9702,9702,9702,9702,9702,9702,10187.1,10187.1,10187.1,10187.1,10187.1,10187.1,10187.1,10187.1,10187.1,10187.1,10187.1,10187.1],"hasOverride":false,"revKey":"rev_p5"},{"name":"Consulting &amp; Strategieberatung","key":"mat_rev_p6","cogs":22,"monthly":[12210,12210,12210,12210,12210,12210,12210,12210,12210,12210,12210,12210,14041.5,14041.5,14041.5,14041.5,14041.5,14041.5,14041.5,14041.5,14041.5,14041.5,14041.5,14041.5,16147.78,16147.78,16147.78,16147.78,16147.78,16147.78,16147.78,16147.78,16147.78,16147.78,16147.78,16147.78],"hasOverride":false,"revKey":"rev_p6"},{"name":"Migrationsprojekt Bestandskunde Alpha","key":"mat_rev_p7","cogs":22,"monthly":[0,0,0,0,0,0,9900,9900,7700,5500,0,0,0,0,0,3300,3300,0,0,0,0,0,0,0,0,0,0,0,0,0,0,0,0,0,0,0],"hasOverride":false,"revKey":"rev_p7"},{"name":"Einmalige Lizenzgebühr Enterprise-Vertrag","key":"mat_rev_p8","cogs":22,"monthly":[0,0,0,0,0,0,0,0,0,0,0,0,0,0,0,0,0,0,0,0,0,0,0,39600,0,0,0,0,0,0,0,0,0,0,0,0],"hasOverride":false,"revKey":"rev_p8"},{"name":"Enterprise On-Premise Lizenzen","key":"mat_rev_p9","cogs":22,"monthly":[0,0,6160,6160,6160,12320,6160,6160,12320,12320,18480,30800,0,0,6776,6776,6776,13552,6776,6776,13552,13552,20328,33880,0,0,7453.6,7453.6,7453.6,14907.2,7453.6,7453.6,14907.2,14907.2,22360.8,37268],"hasOverride":false,"revKey":"rev_p9"},{"name":"Implementierung &amp; Customizing","key":"mat_rev_p10","cogs":22,"monthly":[6270,6270,8360,10450,8360,10450,6270,4180,8360,10450,12540,16720,7022.4,7022.4,9363.2,11704,9363.2,11704,7022.4,4681.6,9363.2,11704,14044.8,18726.4,7865,7865,10486.74,13108.48,10486.74,13108.48,7865,5243.48,10486.74,13108.48,15730.22,20973.48],"hasOverride":false,"revKey":"rev_p10"},{"name":"Schulungen &amp; Zertifizierungen","key":"mat_rev_p11","cogs":22,"monthly":[1672,2508,3344,5016,4180,1672,836,836,2508,4180,5016,6688,1805.76,2708.64,3611.52,5417.28,4514.4,1805.76,902.88,902.88,2708.64,4514.4,5417.28,7223.04,1950.3,2925.34,3900.38,5850.68,4875.64,1950.3,975.04,975.04,2925.34,4875.64,5850.68,7800.98],"hasOverride":false,"revKey":"rev_p11"}],"_mat_ratio_arr":[0.21999999999999997,0.21999999999999997,0.21999999999999997,0.21999999999999997,0.21999999999999997,0.21999999999999997,0.21999999999999997,0.21999999999999997,0.21999999999999997,0.21999999999999997,0.21999999999999997,0.21999999999999997,0.22,0.22,0.22000000000000003,0.22000000000000003,0.22,0.22,0.22000000000000003,0.22000000000000006,0.22,0.22,0.22000000000000003,0.22,0.22,0.22,0.22000000000000003,0.22,0.22000000000000003,0.22,0.22,0.22,0.22,0.22,0.22,0.22],"_material_monthly":[69094.73999999999,69930.73999999999,79016.73999999999,82778.73999999999,79852.73999999999,85594.73999999999,84318.73999999999,82228.73999999999,92040.73999999999,93602.73999999999,97188.73999999999,115360.73999999999,81869.92,82772.8,92792.48000000001,100239.04000000001,96995.36,100103.52,87743.04000000001,85402.24000000002,98665.6,102812.16,112831.84000000001,172471.2,97515.66,98490.7,109541.08000000002,114113.12,110516.34000000001,117666.34,103994,101372.48,116019.64,120591.68,131642.06,153742.82],"_staff_categories":[{"name":"Software-Entwicklung (Backend)","count":5,"salary":78000,"escalation":4},{"name":"Software-Entwicklung (Frontend)","count":3,"salary":72000,"escalation":4},{"name":"DevOps &amp; Cloud Engineering","count":3,"salary":74000,"escalation":3},{"name":"Data Science &amp; Analytics","count":2,"salary":82000,"escalation":5},{"name":"Produktmanagement","count":2,"salary":68000,"escalation":3},{"name":"Vertrieb &amp; Account Management","count":4,"salary":62000,"escalation":3},{"name":"Customer Success &amp; Support","count":3,"salary":48000,"escalation":2},{"name":"Verwaltung, HR &amp; Finance","count":2,"salary":52000,"escalation":2}],"pers_total":1965040,"num_employees":24,"avg_salary":67667,"_extra_costs":[{"name":"Leasingraten Fuhrpark","amount":36000,"growth":2,"season":"equal","customPcts":null,"customMode":null,"onetime":false,"otYearData":null,"startYear":2026,"startMonth":1},{"name":"Externe Buchhaltung &amp; Steuerberatung","amount":28000,"growth":3,"season":"equal","customPcts":null,"customMode":null,"onetime":false,"otYearData":null,"startYear":2026,"startMonth":1},{"name":"Recruiting &amp; Headhunting","amount":45000,"growth":10,"season":"equal","customPcts":null,"customMode":null,"onetime":false,"otYearData":null,"startYear":2026,"startMonth":1},{"name":"Reisekosten &amp; Spesen","amount":32000,"growth":5,"season":"equal","customPcts":null,"customMode":null,"onetime":false,"otYearData":null,"startYear":2026,"startMonth":1},{"name":"Weiterbildung &amp; Konferenzen","amount":18000,"growth":4,"season":"equal","customPcts":null,"customMode":null,"onetime":false,"otYearData":null,"startYear":2026,"startMonth":1},{"name":"Softwarelizenzen (Drittanbieter)","amount":54000,"growth":8,"season":"equal","customPcts":null,"customMode":null,"onetime":false,"otYearData":null,"startYear":2026,"startMonth":1},{"name":"Messeauftritte &amp; Events","amount":42000,"growth":6,"season":"equal","customPcts":null,"customMode":null,"onetime":false,"otYearData":null,"startYear":2026,"startMonth":1},{"name":"Patentkosten &amp; IP-Schutz","amount":15000,"growth":0,"season":"equal","customPcts":null,"customMode":null,"onetime":false,"otYearData":null,"startYear":2026,"startMonth":1},{"name":"Coworking Satellitenbüro Berlin","amount":24000,"growth":3,"season":"equal","customPcts":null,"customMode":null,"onetime":false,"otYearData":null,"startYear":2026,"startMonth":1},{"name":"Saisonale Werbekampagne","amount":110000,"growth":5,"season":"custom","customPcts":[3000,3000,5000,8000,12000,18000,22000,18000,10000,5000,3000,3000],"customMode":"abs","onetime":false,"otYearData":null,"startYear":2026,"startMonth":1},{"name":"Messe &amp; Konferenzteilnahme","amount":78000,"growth":3,"season":"custom","customPcts":[2000,4000,8000,12000,5000,3000,2000,2000,10000,15000,10000,5000],"customMode":"abs","onetime":false,"otYearData":null,"startYear":2026,"startMonth":1},{"name":"Markteintrittskampagne UK","amount":0,"growth":0,"season":"equal","customPcts":null,"customMode":null,"onetime":true,"otYearData":{"2027":[0,0,8000,12000,15000,18000,12000,8000,5000,0,0,0]},"startYear":2026,"startMonth":1},{"name":"ISO-Zertifizierung","amount":0,"growth":0,"season":"equal","customPcts":null,"customMode":null,"onetime":true,"otYearData":{"2026":[0,0,0,0,0,0,0,0,5000,8000,7000,4000]},"startYear":2026,"startMonth":1}],"total_fixed_opex":458400,"_collaterals":[],"_existing_da":[{"name":"Server-Infrastruktur Dell (Bj. 2022)","annual":28000,"remainingMonths":17},{"name":"Büromöbel &amp; Ausstattung (Bj. 2021)","annual":9500,"remainingMonths":45},{"name":"Firmenfahrzeug Audi A4 Avant (Bj. 2023)","annual":12000,"remainingMonths":28},{"name":"Firmenfahrzeug BMW 320d (Bj. 2024)","annual":11000,"remainingMonths":55},{"name":"Netzwerk &amp; Sicherheitstechnik (Bj. 2023)","annual":6500,"remainingMonths":22},{"name":"Telefonanlage &amp; IT-Peripherie (Bj. 2024)","annual":4200,"remainingMonths":36},{"name":"Laborausstattung Testumgebung (Bj. 2023)","annual":8800,"remainingMonths":25}],"_investments":[{"name":"Cloud-Infrastruktur (AWS/Azure Migration)","amount":220000,"depYears":5,"yearOffset":0,"startMonth":1},{"name":"SaaS-Plattform v3.0 Rewrite (Phase 1)","amount":280000,"depYears":3,"yearOffset":0,"startMonth":3},{"name":"Büroumbau &amp; Erweiterung 2. OG","amount":135000,"depYears":10,"yearOffset":0,"startMonth":5},{"name":"Firmenwagen Fuhrpark (1x)","amount":55000,"depYears":6,"yearOffset":0,"startMonth":8},{"name":"KI/ML-Infrastruktur (GPU-Cluster)","amount":195000,"depYears":4,"yearOffset":1,"startMonth":0},{"name":"CRM &amp; ERP System (Salesforce/SAP)","amount":88000,"depYears":5,"yearOffset":1,"startMonth":4},{"name":"Messebau &amp; Demo-Equipment","amount":45000,"depYears":3,"yearOffset":1,"startMonth":10},{"name":"Ergonomische Arbeitsplätze (50 Stk)","amount":62000,"depYears":8,"yearOffset":2,"startMonth":2}],"_loans":[{"name":"KfW Unternehmerkredit (2023)","amount":180000,"rate":0.038,"rateDisplay":3.8,"term":4,"termMonths":48,"mode":"Annuität","isExisting":true,"graceYears":0,"graceMonths":0,"startYear":0,"startMonth":0,"equity":0},{"name":"Sparkasse Betriebsmittelkredit","amount":120000,"rate":0.042,"rateDisplay":4.2,"term":3,"termMonths":36,"mode":"Annuität","isExisting":true,"graceYears":0,"graceMonths":0,"startYear":0,"startMonth":0,"equity":0},{"name":"Volksbank Investitionskredit (2024)","amount":250000,"rate":0.045,"rateDisplay":4.5,"term":5,"termMonths":60,"mode":"Annuität","isExisting":true,"graceYears":0,"graceMonths":0,"startYear":0,"startMonth":0,"equity":0},{"name":"Leasingfinanzierung IT-Hardware (2024)","amount":85000,"rate":0.051,"rateDisplay":5.1,"term":3,"termMonths":36,"mode":"Annuität","isExisting":true,"graceYears":0,"graceMonths":0,"startYear":0,"startMonth":0,"equity":0},{"name":"Gesellschafterdarlehen (nachrangig)","amount":150000,"rate":0.06,"rateDisplay":6,"term":6,"termMonths":72,"mode":"Endfällig (Bullet)","isExisting":true,"graceYears":0,"graceMonths":0,"startYear":0,"startMonth":0,"equity":0},{"name":"Commerzbank Anlagefinanzierung (2022)","amount":95000,"rate":0.0325,"rateDisplay":3.25,"term":5,"termMonths":60,"mode":"Annuität","isExisting":true,"graceYears":0,"graceMonths":0,"startYear":0,"startMonth":0,"equity":0},{"name":"Fuhrpark-Leasing Transporter (2024)","amount":42000,"rate":0.0475,"rateDisplay":4.75,"term":4,"termMonths":48,"mode":"Annuität","isExisting":true,"graceYears":0,"graceMonths":0,"startYear":0,"startMonth":0,"equity":0},{"name":"Bankdarlehen","amount":1250000,"rate":0.048499999999999995,"term":7,"termMonths":84,"mode":"Annuität","isExisting":false,"graceYears":1,"graceMonths":12,"startYear":0,"startMonth":0,"equity":0,"_isPrimary":true},{"name":"KfW ERP-Digitalisierungskredit","amount":400000,"rate":0.032,"rateDisplay":3.2,"term":5,"termMonths":60,"mode":"Annuität","isExisting":false,"graceYears":1,"graceMonths":12,"startYear":0,"startMonth":2,"equity":150000},{"name":"Betriebsmittelkredit Mittelstand","amount":300000,"rate":0.0495,"rateDisplay":4.95,"term":3,"termMonths":36,"mode":"Endfällig (Bullet)","isExisting":false,"graceYears":0,"graceMonths":0,"startYear":0,"startMonth":4,"equity":0},{"name":"Anschaffungsdarlehen Maschinen","amount":250000,"rate":0.042,"rateDisplay":4.2,"term":6,"termMonths":72,"mode":"Ratentilgung","isExisting":false,"graceYears":0,"graceMonths":0,"startYear":1,"startMonth":0,"equity":0},{"name":"Erweiterungskredit Standort 2","amount":200000,"rate":0.044000000000000004,"rateDisplay":4.4,"term":4,"termMonths":48,"mode":"Annuität","isExisting":false,"graceYears":0,"graceMonths":0,"startYear":2,"startMonth":2,"equity":0}],"bs_debt":922000,"_loan_primary_amount":1250000,"_total_loan_equity":150000,"_cost_arrays":{"rent":[9000,9000,9000,9000,9000,9000,9000,9000,9000,9000,9000,9000,9270,9270,9270,9270,9270,9270,9270,9270,9270,9270,9270,9270,9548,9548,9548,9548,9548,9548,9548,9548,9548,9548,9548,9548],"mkt":[12000,12000,12000,12000,12000,12000,12000,12000,12000,12000,12000,12000,12360,12360,12360,12360,12360,12360,12360,12360,12360,12360,12360,12360,12731,12731,12731,12731,12731,12731,12731,12731,12731,12731,12731,12731],"it":[6000,6000,6000,6000,6000,6000,6000,6000,6000,6000,6000,6000,6180,6180,6180,6180,6180,6180,6180,6180,6180,6180,6180,6180,6365,6365,6365,6365,6365,6365,6365,6365,6365,6365,6365,6365],"ins":[2000,2000,2000,2000,2000,2000,2000,2000,2000,2000,2000,2000,2060,2060,2060,2060,2060,2060,2060,2060,2060,2060,2060,2060,2122,2122,2122,2122,2122,2122,2122,2122,2122,2122,2122,2122],"oopx":[9200,9200,9200,9200,9200,9200,9200,9200,9200,9200,9200,9200,9476,9476,9476,9476,9476,9476,9476,9476,9476,9476,9476,9476,9760,9760,9760,9760,9760,9760,9760,9760,9760,9760,9760,9760],"gf":[29242,29242,29242,29242,29242,29242,29242,29242,29242,29242,29242,29242,30119,30119,30119,30119,30119,30119,30119,30119,30119,30119,30119,30119,31022,31022,31022,31022,31022,31022,31022,31022,31022,31022,31022,31022],"pers":[157689,157689,180919,180919,180919,189919,189919,189919,189187,181687,181687,181687,200522,200522,200522,200522,200522,205362,205362,205362,205362,205362,205362,205362,224604,224604,224604,230150,230150,230150,216150,216150,216150,216150,216150,216150],"ec_0":[3000,3000,3000,3000,3000,3000,3000,3000,3000,3000,3000,3000,3060,3060,3060,3060,3060,3060,3060,3060,3060,3060,3060,3060,3121,3121,3121,3121,3121,3121,3121,3121,3121,3121,3121,3121],"ec_1":[2333,2333,2333,2333,2333,2333,2333,2333,2333,2333,2333,2333,2403,2403,2403,2403,2403,2403,2403,2403,2403,2403,2403,2403,2475,2475,2475,2475,2475,2475,2475,2475,2475,2475,2475,2475],"ec_2":[3750,3750,3750,3750,3750,3750,3750,3750,3750,3750,3750,3750,4125,4125,4125,4125,4125,4125,4125,4125,4125,4125,4125,4125,4538,4538,4538,4538,4538,4538,4538,4538,4538,4538,4538,4538],"ec_3":[2667,2667,2667,2667,2667,2667,2667,2667,2667,2667,2667,2667,2800,2800,2800,2800,2800,2800,2800,2800,2800,2800,2800,2800,2940,2940,2940,2940,2940,2940,2940,2940,2940,2940,2940,2940],"ec_4":[1500,1500,1500,1500,1500,1500,1500,1500,1500,1500,1500,1500,1560,1560,1560,1560,1560,1560,1560,1560,1560,1560,1560,1560,1622,1622,1622,1622,1622,1622,1622,1622,1622,1622,1622,1622],"ec_5":[4500,4500,4500,4500,4500,4500,4500,4500,4500,4500,4500,4500,4860,4860,4860,4860,4860,4860,4860,4860,4860,4860,4860,4860,5249,5249,5249,5249,5249,5249,5249,5249,5249,5249,5249,5249],"ec_6":[3500,3500,3500,3500,3500,3500,3500,3500,3500,3500,3500,3500,3710,3710,3710,3710,3710,3710,3710,3710,3710,3710,3710,3710,3933,3933,3933,3933,3933,3933,3933,3933,3933,3933,3933,3933],"ec_7":[1250,1250,1250,1250,1250,1250,1250,1250,1250,1250,1250,1250,1250,1250,1250,1250,1250,1250,1250,1250,1250,1250,1250,1250,1250,1250,1250,1250,1250,1250,1250,1250,1250,1250,1250,1250],"ec_8":[2000,2000,2000,2000,2000,2000,2000,2000,2000,2000,2000,2000,2060,2060,2060,2060,2060,2060,2060,2060,2060,2060,2060,2060,2122,2122,2122,2122,2122,2122,2122,2122,2122,2122,2122,2122],"ec_9":[3000,3000,5000,8000,12000,18000,22000,18000,10000,5000,3000,3000,3150,3150,5250,8400,12600,18900,23100,18900,10500,5250,3150,3150,3307,3307,5512,8820,13230,19845,24255,19845,11025,5512,3307,3307],"ec_10":[2000,4000,8000,12000,5000,3000,2000,2000,10000,15000,10000,5000,2060,4120,8240,12360,5150,3090,2060,2060,10300,15450,10300,5150,2122,4244,8487,12731,5304,3183,2122,2122,10609,15914,10609,5304],"ec_11":[0,0,0,0,0,0,0,0,0,0,0,0,0,0,8000,12000,15000,18000,12000,8000,5000,0,0,0,0,0,0,0,0,0,0,0,0,0,0,0],"ec_12":[0,0,0,0,0,0,0,0,5000,8000,7000,4000,0,0,0,0,0,0,0,0,0,0,0,0,0,0,0,0,0,0,0,0,0,0,0,0]},"_staff_cat_arrays":[{"key":"staff_0","name":"Software-Entwicklung (Backend)","monthly":[31460,31460,47190,47190,47190,47190,47190,47190,47190,47190,47190,47190,49077,49077,49077,49077,49077,49077,49077,49077,49077,49077,49077,49077,51041,51041,51041,51041,51041,51041,51041,51041,51041,51041,51041,51041]},{"key":"staff_1","name":"Software-Entwicklung (Frontend)","monthly":[21780,21780,21780,21780,21780,21780,21780,21780,21780,21780,21780,21780,22651,22651,22651,22651,22651,22651,22651,22651,22651,22651,22651,22651,23557,23557,23557,23557,23557,23557,23557,23557,23557,23557,23557,23557]},{"key":"staff_2","name":"DevOps &amp; Cloud Engineering","monthly":[22385,22385,22385,22385,22385,22385,22385,22385,22385,22385,22385,22385,23057,23057,23057,23057,23057,23057,23057,23057,23057,23057,23057,23057,23748,23748,23748,23748,23748,23748,23748,23748,23748,23748,23748,23748]},{"key":"staff_3","name":"Data Science &amp; Analytics","monthly":[16537,16537,16537,16537,16537,16537,16537,16537,24805,24805,24805,24805,26046,26046,26046,26046,26046,26046,26046,26046,26046,26046,26046,26046,27348,27348,27348,27348,27348,27348,27348,27348,27348,27348,27348,27348]},{"key":"staff_4","name":"Produktmanagement","monthly":[13713,13713,13713,13713,13713,13713,13713,13713,13713,13713,13713,13713,14125,14125,14125,14125,14125,14125,14125,14125,14125,14125,14125,14125,14548,14548,14548,14548,145</t>
  </si>
  <si>
    <t>48,14548,14548,14548,14548,14548,14548,14548]},{"key":"staff_5","name":"Vertrieb &amp; Account Management","monthly":[25007,25007,25007,25007,25007,25007,25007,25007,25007,25007,25007,25007,38260,38260,38260,38260,38260,38260,38260,38260,38260,38260,38260,38260,39408,39408,39408,39408,39408,39408,39408,39408,39408,39408,39408,39408]},{"key":"staff_6","name":"Customer Success &amp; Support","monthly":[14520,14520,14520,14520,14520,14520,14520,14520,14520,14520,14520,14520,14810,14810,14810,14810,14810,19650,19650,19650,19650,19650,19650,19650,20044,20044,20044,20044,20044,20044,20044,20044,20044,20044,20044,20044]},{"key":"staff_7","name":"Verwaltung, HR &amp; Finance","monthly":[10487,10487,10487,10487,10487,10487,10487,10487,10487,10487,10487,10487,10696,10696,10696,10696,10696,10696,10696,10696,10696,10696,10696,10696,10910,10910,10910,10910,10910,10910,10910,10910,10910,10910,10910,10910]}],"_hires":[{"count":2,"salary":78000,"month":2,"yearOffset":0,"year":2026,"category":"Software-Entwicklung (Backend)","escalation":4},{"count":1,"salary":82000,"month":8,"yearOffset":0,"year":2026,"category":"Data Science &amp; Analytics","escalation":5},{"count":2,"salary":62000,"month":0,"yearOffset":1,"year":2027,"category":"Vertrieb &amp; Account Management","escalation":3},{"count":1,"salary":48000,"month":5,"yearOffset":1,"year":2027,"category":"Customer Success &amp; Support","escalation":2},{"count":1,"salary":55000,"month":3,"yearOffset":2,"year":2028,"category":"","escalation":2},{"count":-1,"salary":78000,"month":0,"yearOffset":0,"year":2026,"category":"Software-Entwicklung (Backend)","escalation":4}],"_temp_staff":[{"name":"Freelancer UX/UI Design","monthlyCost":7500,"fromMonth":2,"fromYear":2026,"toMonth":8,"toYear":2026},{"name":"Freelancer Security Audit","monthlyCost":9000,"fromMonth":5,"fromYear":2026,"toMonth":7,"toYear":2026},{"name":"Werkstudent Marketing","monthlyCost":1800,"fromMonth":0,"fromYear":2026,"toMonth":11,"toYear":2027},{"name":"Interim CFO (Boersen-Vorbereitung)","monthlyCost":14000,"fromMonth":0,"fromYear":2028,"toMonth":5,"toYear":2028}],"_extra_cost_arrays":[{"key":"ec_0","name":"Leasingraten Fuhrpark","monthly":[3000,3000,3000,3000,3000,3000,3000,3000,3000,3000,3000,3000,3060,3060,3060,3060,3060,3060,3060,3060,3060,3060,3060,3060,3121,3121,3121,3121,3121,3121,3121,3121,3121,3121,3121,3121]},{"key":"ec_1","name":"Externe Buchhaltung &amp; Steuerberatung","monthly":[2333,2333,2333,2333,2333,2333,2333,2333,2333,2333,2333,2333,2403,2403,2403,2403,2403,2403,2403,2403,2403,2403,2403,2403,2475,2475,2475,2475,2475,2475,2475,2475,2475,2475,2475,2475]},{"key":"ec_2","name":"Recruiting &amp; Headhunting","monthly":[3750,3750,3750,3750,3750,3750,3750,3750,3750,3750,3750,3750,4125,4125,4125,4125,4125,4125,4125,4125,4125,4125,4125,4125,4538,4538,4538,4538,4538,4538,4538,4538,4538,4538,4538,4538]},{"key":"ec_3","name":"Reisekosten &amp; Spesen","monthly":[2667,2667,2667,2667,2667,2667,2667,2667,2667,2667,2667,2667,2800,2800,2800,2800,2800,2800,2800,2800,2800,2800,2800,2800,2940,2940,2940,2940,2940,2940,2940,2940,2940,2940,2940,2940]},{"key":"ec_4","name":"Weiterbildung &amp; Konferenzen","monthly":[1500,1500,1500,1500,1500,1500,1500,1500,1500,1500,1500,1500,1560,1560,1560,1560,1560,1560,1560,1560,1560,1560,1560,1560,1622,1622,1622,1622,1622,1622,1622,1622,1622,1622,1622,1622]},{"key":"ec_5","name":"Softwarelizenzen (Drittanbieter)","monthly":[4500,4500,4500,4500,4500,4500,4500,4500,4500,4500,4500,4500,4860,4860,4860,4860,4860,4860,4860,4860,4860,4860,4860,4860,5249,5249,5249,5249,5249,5249,5249,5249,5249,5249,5249,5249]},{"key":"ec_6","name":"Messeauftritte &amp; Events","monthly":[3500,3500,3500,3500,3500,3500,3500,3500,3500,3500,3500,3500,3710,3710,3710,3710,3710,3710,3710,3710,3710,3710,3710,3710,3933,3933,3933,3933,3933,3933,3933,3933,3933,3933,3933,3933]},{"key":"ec_7","name":"Patentkosten &amp; IP-Schutz","monthly":[1250,1250,1250,1250,1250,1250,1250,1250,1250,1250,1250,1250,1250,1250,1250,1250,1250,1250,1250,1250,1250,1250,1250,1250,1250,1250,1250,1250,1250,1250,1250,1250,1250,1250,1250,1250]},{"key":"ec_8","name":"Coworking Satellitenbüro Berlin","monthly":[2000,2000,2000,2000,2000,2000,2000,2000,2000,2000,2000,2000,2060,2060,2060,2060,2060,2060,2060,2060,2060,2060,2060,2060,2122,2122,2122,2122,2122,2122,2122,2122,2122,2122,2122,2122]},{"key":"ec_9","name":"Saisonale Werbekampagne","monthly":[3000,3000,5000,8000,12000,18000,22000,18000,10000,5000,3000,3000,3150,3150,5250,8400,12600,18900,23100,18900,10500,5250,3150,3150,3307,3307,5512,8820,13230,19845,24255,19845,11025,5512,3307,3307]},{"key":"ec_10","name":"Messe &amp; Konferenzteilnahme","monthly":[2000,4000,8000,12000,5000,3000,2000,2000,10000,15000,10000,5000,2060,4120,8240,12360,5150,3090,2060,2060,10300,15450,10300,5150,2122,4244,8487,12731,5304,3183,2122,2122,10609,15914,10609,5304]},{"key":"ec_11","name":"Markteintrittskampagne UK","monthly":[0,0,0,0,0,0,0,0,0,0,0,0,0,0,8000,12000,15000,18000,12000,8000,5000,0,0,0,0,0,0,0,0,0,0,0,0,0,0,0]},{"key":"ec_12","name":"ISO-Zertifizierung","monthly":[0,0,0,0,0,0,0,0,5000,8000,7000,4000,0,0,0,0,0,0,0,0,0,0,0,0,0,0,0,0,0,0,0,0,0,0,0,0]}],"_special_items":[{"name":"KfW-Zuschuss Digitalisierung","cat":"income","amount":75000,"year":2026,"month":9,"recurring":false,"growth":0,"rate":0},{"name":"Anlagenverkauf Alt-Hardware","cat":"asset_sale","amount":35000,"year":2027,"month":3,"recurring":false,"growth":0,"rate":0},{"name":"Eigenkapitalanteil KfW ERP-Digitalisierungskredit","cat":"equity","amount":150000,"year":2026,"month":3,"recurring":false}],"_sp_arrays":{"other_income":[0,0,0,0,0,0,0,0,75000,0,0,0,0,0,0,0,0,0,0,0,0,0,0,0,0,0,0,0,0,0,0,0,0,0,0,0],"other_expense":[0,0,0,0,0,0,0,0,0,0,0,0,0,0,0,0,0,0,0,0,0,0,0,0,0,0,0,0,0,0,0,0,0,0,0,0],"cf_fin":[0,0,150000,0,0,0,0,0,0,0,0,0,0,0,0,0,0,0,0,0,0,0,0,0,0,0,0,0,0,0,0,0,0,0,0,0],"cf_inv":[0,0,0,0,0,0,0,0,0,0,0,0,0,0,35000,0,0,0,0,0,0,0,0,0,0,0,0,0,0,0,0,0,0,0,0,0],"ppe_reduce":[0,0,0,0,0,0,0,0,0,0,0,0,0,0,35000,0,0,0,0,0,0,0,0,0,0,0,0,0,0,0,0,0,0,0,0,0],"bs_equity":[0,0,150000,0,0,0,0,0,0,0,0,0,0,0,0,0,0,0,0,0,0,0,0,0,0,0,0,0,0,0,0,0,0,0,0,0],"bs_debt":[0,0,0,0,0,0,0,0,0,0,0,0,0,0,0,0,0,0,0,0,0,0,0,0,0,0,0,0,0,0,0,0,0,0,0,0],"interest":[0,0,0,0,0,0,0,0,0,0,0,0,0,0,0,0,0,0,0,0,0,0,0,0,0,0,0,0,0,0,0,0,0,0,0,0]},"_dividend_array":[0,0,0,0,0,0,0,0,0,0,0,0,0,0,0,0,0,0,0,0,0,0,0,0,0,0,0,0,0,0,0,0,0,0,0,0],"_div_month":6,"_historical":[{"year":2023,"rev":2200000,"mat":396000,"pers":1180000,"opex":340000,"da":78000,"int":48000,"tax":22000,"cash":180000,"ppe":260000,"equity":310000,"debt":720000,"ar":200000,"inv":32000,"ap":95000,"gp":1804000,"ebitda":284000,"ebit":206000,"ebt":158000,"ni":136000,"ta":440000,"tl":720000,"te":310000,"tle":1030000},{"year":2024,"rev":3050000,"mat":549000,"pers":1480000,"opex":405000,"da":88000,"int":52000,"tax":52000,"cash":260000,"ppe":295000,"equity":480000,"debt":840000,"ar":275000,"inv":42000,"ap":130000,"gp":2501000,"ebitda":616000,"ebit":528000,"ebt":476000,"ni":424000,"ta":555000,"tl":840000,"te":480000,"tle":1320000},{"year":2025,"rev":4100000,"mat":738000,"pers":1820000,"opex":480000,"da":98000,"int":58000,"tax":95000,"cash":420000,"ppe":340000,"equity":680000,"debt":922000,"ar":380000,"inv":55000,"ap":165000,"gp":3362000,"ebitda":1062000,"ebit":964000,"ebt":906000,"ni":811000,"ta":760000,"tl":922000,"te":680000,"tle":1602000}]},"c":{"v":2,"dep":[6667,10334,10334,18112,18112,19237,19237,19237,20001,20001,20001,20001,24064,24064,24064,24064,25531,23198,23198,23198,23198,23198,23906,23906,23906,23173,23819,23819,22819,22819,22819,22819,22819,22819,22819,22819],"int":[8514.375,8462.01655689899,9476.136412299178,9423.400545208051,10607.974932088253,10554.858880181391,10501.551694165124,10448.052676143547,10394.361125637548,10340.476339575132,10286.397612281691,10232.124235470252,11052.65549823168,10925.244335801393,10797.391484193857,10648.23532618626,10498.57842864641,10348.418921251743,10197.754926569587,10046.58456002974,9894.905929896951,9742.717137243293,9590.016275920441,9436.801432531814,9283.070686404639,9128.822109561894,9707.387100027461,9538.096378278997,9368.230661985443,9197.787805438738,9026.765654794455,8855.16204804052,8682.974814965872,8510.201777128937,8336.840747826038,8162.889532059635],"prin":[14781.5934432114,14833.951886312412,14886.498697578889,14939.234564670016,14992.160177789816,15045.276229696676,15098.583415712945,15152.082433734522,15205.77398424052,15259.658770302936,15313.737497596378,15368.010874407815,33886.92619156274,34002.18457621525,41940.35037048174,42077.353750711554,42214.85787047363,42352.864600090514,42491.3758169949,42630.393405756964,42769.91925811198,42909.955272987856,43050.503356532936,43191.56542214378,43333.14339049318,43475.239189558146,47436.219350701285,47593.35729467197,47751.07023318775,47909.36031195667,48068.229684823185,48227.680513799336,48387.71496909621,48548.33522915536,48709.54348068048,48871.34191866911]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</si>
</sst>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[$-407]#,##0 &quot;€&quot;;[$-407]-#,##0 &quot;€&quot;;&quot;–&quot;"/>
    <numFmt numFmtId="165" formatCode="[$-407]0.0%"/>
    <numFmt numFmtId="166" formatCode="[$-407]0.00&quot;x&quot;;&quot;n/a&quot;;[$-407]0.00&quot;x&quot;"/>
    <numFmt numFmtId="167" formatCode="[$-407]#,##0"/>
    <numFmt numFmtId="168" formatCode="[$-407]0.00%"/>
    <numFmt numFmtId="169" formatCode="[$-407]#,##0;[$-407]-#,##0;&quot;-&quot;"/>
    <numFmt numFmtId="170" formatCode="[$-407]0.00%;[$-407]-0.00%;&quot;-&quot;"/>
    <numFmt numFmtId="171" formatCode="[$-407]0.0"/>
    <numFmt numFmtId="172" formatCode="[$-407]MMM YYYY"/>
    <numFmt numFmtId="173" formatCode="#,##0&quot; Tage&quot;"/>
    <numFmt numFmtId="174" formatCode="[$-407]+0.0%;[$-407]-0.0%;[$-407]0.0%"/>
    <numFmt numFmtId="175" formatCode="[$-407]#,##0;[Red][$-407]-#,##0;&quot;-&quot;"/>
    <numFmt numFmtId="176" formatCode="[$-407]0.00&quot;x&quot;"/>
    <numFmt numFmtId="177" formatCode="[$-407]0.0&quot; Mon.&quot;"/>
    <numFmt numFmtId="178" formatCode="[$-407]0&quot; Tage&quot;;[$-407]-0&quot; Tage&quot;"/>
    <numFmt numFmtId="179" formatCode="[$-407]&quot;≥ &quot;0.00&quot;x&quot;"/>
    <numFmt numFmtId="180" formatCode="[$-407]0.00&quot;x&quot;;[$-407]-0.00&quot;x&quot;"/>
    <numFmt numFmtId="181" formatCode="[$-407]&quot;≥ &quot;0%"/>
    <numFmt numFmtId="182" formatCode="[$-407]&quot;≤ &quot;0.00&quot;x&quot;"/>
    <numFmt numFmtId="183" formatCode="[$-407]0.00&quot;x&quot;;[$-407]-0.00&quot;x&quot;;[$-407]0.00&quot;x&quot;"/>
    <numFmt numFmtId="184" formatCode="[$-407]&quot;≥ &quot;#,##0&quot; €&quot;"/>
    <numFmt numFmtId="185" formatCode="[$-407]#,##0&quot; €&quot;;[$-407]-#,##0&quot; €&quot;"/>
  </numFmts>
  <fonts count="24" x14ac:knownFonts="1">
    <font>
      <color theme="1"/>
      <family val="2"/>
      <scheme val="minor"/>
      <sz val="11"/>
      <name val="Calibri"/>
    </font>
    <font>
      <b/>
      <color rgb="FF0B2A4A"/>
      <sz val="16"/>
      <name val="Arial"/>
    </font>
    <font>
      <color rgb="FF000000"/>
      <sz val="10"/>
      <name val="Arial"/>
    </font>
    <font>
      <b/>
      <color rgb="FFFFFFFF"/>
      <sz val="11"/>
      <name val="Arial"/>
    </font>
    <font>
      <color rgb="FF0B2A4A"/>
      <sz val="10"/>
      <name val="Arial"/>
    </font>
    <font>
      <b/>
      <color rgb="FF0B2A4A"/>
      <sz val="10"/>
      <name val="Arial"/>
    </font>
    <font>
      <b/>
      <color rgb="FF000000"/>
      <sz val="14"/>
      <name val="Arial"/>
    </font>
    <font>
      <color rgb="FF000000"/>
      <sz val="9"/>
      <name val="Arial"/>
    </font>
    <font>
      <b/>
      <color rgb="FF000000"/>
      <sz val="10"/>
      <name val="Arial"/>
    </font>
    <font>
      <sz val="10"/>
      <name val="Arial"/>
    </font>
    <font>
      <color rgb="FF0000FF"/>
      <sz val="10"/>
      <name val="Arial"/>
    </font>
    <font>
      <b/>
      <sz val="10"/>
      <name val="Arial"/>
    </font>
    <font>
      <b/>
      <color rgb="FFFFFFFF"/>
      <sz val="9"/>
      <name val="Arial"/>
    </font>
    <font>
      <b/>
      <color rgb="FFFFFFFF"/>
      <sz val="10"/>
      <name val="Arial"/>
    </font>
    <font>
      <color rgb="FF006100"/>
      <sz val="10"/>
      <name val="Arial"/>
    </font>
    <font>
      <color rgb="FF595959"/>
      <sz val="9"/>
      <name val="Arial"/>
    </font>
    <font>
      <color rgb="FFFFFFFF"/>
      <sz val="9"/>
      <name val="Arial"/>
    </font>
    <font>
      <b/>
      <color rgb="FF006100"/>
      <sz val="10"/>
      <name val="Arial"/>
    </font>
    <font>
      <i/>
      <color rgb="FF000000"/>
      <sz val="9"/>
      <name val="Arial"/>
    </font>
    <font>
      <b/>
      <color rgb="FF000000"/>
      <sz val="11"/>
      <name val="Arial"/>
    </font>
    <font>
      <b/>
      <color rgb="FF000000"/>
      <sz val="9"/>
      <name val="Arial"/>
    </font>
    <font>
      <b/>
      <sz val="11"/>
      <name val="Arial"/>
    </font>
    <font>
      <sz val="9"/>
      <name val="Arial"/>
    </font>
    <font>
      <color rgb="FF666666"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0B2A4A"/>
      </patternFill>
    </fill>
    <fill>
      <patternFill patternType="solid">
        <fgColor rgb="FFF2F2F2"/>
      </patternFill>
    </fill>
    <fill>
      <patternFill patternType="solid">
        <fgColor rgb="FFE9F4F5"/>
      </patternFill>
    </fill>
    <fill>
      <patternFill patternType="solid">
        <fgColor rgb="FFEDEDED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0B2A4A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B2A4A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B2A4A"/>
      </left>
      <right/>
      <top/>
      <bottom/>
      <diagonal/>
    </border>
    <border>
      <left/>
      <right/>
      <top style="thin">
        <color rgb="FF0B2A4A"/>
      </top>
      <bottom/>
      <diagonal/>
    </border>
    <border>
      <left style="medium">
        <color rgb="FF0B2A4A"/>
      </left>
      <right/>
      <top style="thin">
        <color rgb="FF0B2A4A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 indent="1"/>
    </xf>
    <xf numFmtId="0" fontId="0" fillId="2" borderId="0" xfId="0" applyFill="1"/>
    <xf numFmtId="0" fontId="2" fillId="0" borderId="0" xfId="0" applyFont="1" applyAlignment="1">
      <alignment indent="1"/>
    </xf>
    <xf numFmtId="164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indent="1"/>
    </xf>
    <xf numFmtId="167" fontId="4" fillId="0" borderId="0" xfId="0" applyNumberFormat="1" applyFont="1" applyAlignment="1">
      <alignment horizontal="left"/>
    </xf>
    <xf numFmtId="168" fontId="4" fillId="0" borderId="0" xfId="0" applyNumberFormat="1" applyFont="1" applyAlignment="1">
      <alignment horizontal="left"/>
    </xf>
    <xf numFmtId="0" fontId="0" fillId="0" borderId="0" xfId="0" applyAlignment="1">
      <alignment vertical="center" indent="1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right" vertical="bottom"/>
    </xf>
    <xf numFmtId="0" fontId="8" fillId="3" borderId="2" xfId="0" applyFont="1" applyFill="1" applyBorder="1" applyAlignment="1">
      <alignment horizontal="left" vertical="center" indent="1"/>
    </xf>
    <xf numFmtId="0" fontId="8" fillId="3" borderId="2" xfId="0" applyFont="1" applyFill="1" applyBorder="1" applyAlignment="1">
      <alignment horizontal="right" vertical="center" indent="1"/>
    </xf>
    <xf numFmtId="0" fontId="9" fillId="0" borderId="0" xfId="0" applyFont="1"/>
    <xf numFmtId="169" fontId="10" fillId="0" borderId="0" xfId="0" applyNumberFormat="1" applyFont="1" applyAlignment="1">
      <alignment horizontal="right"/>
    </xf>
    <xf numFmtId="170" fontId="10" fillId="0" borderId="0" xfId="0" applyNumberFormat="1" applyFont="1" applyAlignment="1">
      <alignment horizontal="right"/>
    </xf>
    <xf numFmtId="169" fontId="2" fillId="0" borderId="0" xfId="0" applyNumberFormat="1" applyFont="1" applyAlignment="1">
      <alignment horizontal="right"/>
    </xf>
    <xf numFmtId="169" fontId="11" fillId="3" borderId="0" xfId="0" applyNumberFormat="1" applyFont="1" applyFill="1" applyAlignment="1">
      <alignment horizontal="right"/>
    </xf>
    <xf numFmtId="0" fontId="10" fillId="0" borderId="0" xfId="0" applyFont="1" applyAlignment="1">
      <alignment horizontal="right"/>
    </xf>
    <xf numFmtId="0" fontId="9" fillId="0" borderId="2" xfId="0" applyFont="1" applyBorder="1"/>
    <xf numFmtId="0" fontId="10" fillId="0" borderId="2" xfId="0" applyFont="1" applyBorder="1" applyAlignment="1">
      <alignment horizontal="right"/>
    </xf>
    <xf numFmtId="169" fontId="10" fillId="0" borderId="2" xfId="0" applyNumberFormat="1" applyFont="1" applyBorder="1" applyAlignment="1">
      <alignment horizontal="right"/>
    </xf>
    <xf numFmtId="0" fontId="8" fillId="3" borderId="2" xfId="0" applyFont="1" applyFill="1" applyBorder="1" applyAlignment="1">
      <alignment horizontal="center" vertical="center" indent="1"/>
    </xf>
    <xf numFmtId="0" fontId="11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indent="1"/>
    </xf>
    <xf numFmtId="171" fontId="10" fillId="0" borderId="0" xfId="0" applyNumberFormat="1" applyFont="1" applyAlignment="1">
      <alignment horizontal="right"/>
    </xf>
    <xf numFmtId="172" fontId="2" fillId="0" borderId="0" xfId="0" applyNumberFormat="1" applyFont="1" applyAlignment="1">
      <alignment horizontal="right"/>
    </xf>
    <xf numFmtId="170" fontId="10" fillId="0" borderId="0" xfId="0" applyNumberFormat="1" applyFont="1"/>
    <xf numFmtId="173" fontId="10" fillId="0" borderId="0" xfId="0" applyNumberFormat="1" applyFont="1"/>
    <xf numFmtId="0" fontId="11" fillId="0" borderId="0" xfId="0" applyFont="1" applyAlignment="1">
      <alignment vertical="center" indent="1"/>
    </xf>
    <xf numFmtId="174" fontId="10" fillId="0" borderId="0" xfId="0" applyNumberFormat="1" applyFont="1" applyAlignment="1">
      <alignment horizontal="right"/>
    </xf>
    <xf numFmtId="0" fontId="12" fillId="2" borderId="0" xfId="0" applyFont="1" applyFill="1" applyAlignment="1">
      <alignment horizontal="center" vertical="center" wrapText="1"/>
    </xf>
    <xf numFmtId="0" fontId="8" fillId="3" borderId="3" xfId="0" applyFont="1" applyFill="1" applyBorder="1" applyAlignment="1">
      <alignment horizontal="right" vertical="center" indent="1"/>
    </xf>
    <xf numFmtId="170" fontId="7" fillId="0" borderId="0" xfId="0" applyNumberFormat="1" applyFont="1" applyAlignment="1">
      <alignment horizontal="center"/>
    </xf>
    <xf numFmtId="169" fontId="2" fillId="0" borderId="0" xfId="0" applyNumberFormat="1" applyFont="1"/>
    <xf numFmtId="169" fontId="11" fillId="3" borderId="0" xfId="0" applyNumberFormat="1" applyFont="1" applyFill="1"/>
    <xf numFmtId="0" fontId="7" fillId="0" borderId="0" xfId="0" applyFont="1" applyAlignment="1">
      <alignment horizontal="center"/>
    </xf>
    <xf numFmtId="0" fontId="9" fillId="0" borderId="4" xfId="0" applyFont="1" applyBorder="1"/>
    <xf numFmtId="170" fontId="7" fillId="0" borderId="4" xfId="0" applyNumberFormat="1" applyFont="1" applyBorder="1" applyAlignment="1">
      <alignment horizontal="center"/>
    </xf>
    <xf numFmtId="169" fontId="2" fillId="0" borderId="4" xfId="0" applyNumberFormat="1" applyFont="1" applyBorder="1"/>
    <xf numFmtId="169" fontId="11" fillId="3" borderId="4" xfId="0" applyNumberFormat="1" applyFont="1" applyFill="1" applyBorder="1"/>
    <xf numFmtId="169" fontId="11" fillId="0" borderId="0" xfId="0" applyNumberFormat="1" applyFont="1"/>
    <xf numFmtId="0" fontId="0" fillId="0" borderId="4" xfId="0" applyBorder="1"/>
    <xf numFmtId="0" fontId="5" fillId="0" borderId="0" xfId="0" applyFont="1"/>
    <xf numFmtId="169" fontId="9" fillId="0" borderId="0" xfId="0" applyNumberFormat="1" applyFont="1" applyAlignment="1">
      <alignment horizontal="right"/>
    </xf>
    <xf numFmtId="0" fontId="13" fillId="2" borderId="2" xfId="0" applyFont="1" applyFill="1" applyBorder="1" applyAlignment="1">
      <alignment horizontal="left" vertical="center" indent="1"/>
    </xf>
    <xf numFmtId="0" fontId="8" fillId="3" borderId="5" xfId="0" applyFont="1" applyFill="1" applyBorder="1" applyAlignment="1">
      <alignment horizontal="right" vertical="center" indent="1"/>
    </xf>
    <xf numFmtId="0" fontId="2" fillId="3" borderId="2" xfId="0" applyFont="1" applyFill="1" applyBorder="1" applyAlignment="1">
      <alignment horizontal="right" vertical="center" indent="1"/>
    </xf>
    <xf numFmtId="169" fontId="11" fillId="0" borderId="6" xfId="0" applyNumberFormat="1" applyFont="1" applyBorder="1" applyAlignment="1">
      <alignment horizontal="right"/>
    </xf>
    <xf numFmtId="169" fontId="8" fillId="0" borderId="0" xfId="0" applyNumberFormat="1" applyFont="1"/>
    <xf numFmtId="169" fontId="8" fillId="0" borderId="6" xfId="0" applyNumberFormat="1" applyFont="1" applyBorder="1"/>
    <xf numFmtId="0" fontId="4" fillId="0" borderId="0" xfId="0" applyFont="1"/>
    <xf numFmtId="169" fontId="9" fillId="0" borderId="6" xfId="0" applyNumberFormat="1" applyFont="1" applyBorder="1" applyAlignment="1">
      <alignment horizontal="right"/>
    </xf>
    <xf numFmtId="169" fontId="14" fillId="0" borderId="0" xfId="0" applyNumberFormat="1" applyFont="1"/>
    <xf numFmtId="169" fontId="2" fillId="0" borderId="6" xfId="0" applyNumberFormat="1" applyFont="1" applyBorder="1"/>
    <xf numFmtId="169" fontId="11" fillId="0" borderId="7" xfId="0" applyNumberFormat="1" applyFont="1" applyBorder="1" applyAlignment="1">
      <alignment horizontal="right"/>
    </xf>
    <xf numFmtId="169" fontId="8" fillId="0" borderId="8" xfId="0" applyNumberFormat="1" applyFont="1" applyBorder="1"/>
    <xf numFmtId="169" fontId="8" fillId="0" borderId="7" xfId="0" applyNumberFormat="1" applyFont="1" applyBorder="1"/>
    <xf numFmtId="0" fontId="0" fillId="0" borderId="6" xfId="0" applyBorder="1"/>
    <xf numFmtId="169" fontId="11" fillId="0" borderId="9" xfId="0" applyNumberFormat="1" applyFont="1" applyBorder="1" applyAlignment="1">
      <alignment horizontal="right"/>
    </xf>
    <xf numFmtId="169" fontId="8" fillId="0" borderId="10" xfId="0" applyNumberFormat="1" applyFont="1" applyBorder="1"/>
    <xf numFmtId="169" fontId="8" fillId="0" borderId="9" xfId="0" applyNumberFormat="1" applyFont="1" applyBorder="1"/>
    <xf numFmtId="0" fontId="8" fillId="3" borderId="5" xfId="0" applyFont="1" applyFill="1" applyBorder="1"/>
    <xf numFmtId="0" fontId="8" fillId="3" borderId="2" xfId="0" applyFont="1" applyFill="1" applyBorder="1"/>
    <xf numFmtId="170" fontId="2" fillId="0" borderId="6" xfId="0" applyNumberFormat="1" applyFont="1" applyBorder="1"/>
    <xf numFmtId="170" fontId="2" fillId="0" borderId="0" xfId="0" applyNumberFormat="1" applyFont="1"/>
    <xf numFmtId="169" fontId="14" fillId="0" borderId="6" xfId="0" applyNumberFormat="1" applyFont="1" applyBorder="1"/>
    <xf numFmtId="0" fontId="7" fillId="3" borderId="2" xfId="0" applyFont="1" applyFill="1" applyBorder="1" applyAlignment="1">
      <alignment horizontal="right" vertical="center" indent="1"/>
    </xf>
    <xf numFmtId="175" fontId="9" fillId="0" borderId="0" xfId="0" applyNumberFormat="1" applyFont="1" applyAlignment="1">
      <alignment horizontal="right"/>
    </xf>
    <xf numFmtId="175" fontId="14" fillId="0" borderId="0" xfId="0" applyNumberFormat="1" applyFont="1"/>
    <xf numFmtId="0" fontId="11" fillId="0" borderId="10" xfId="0" applyFont="1" applyBorder="1"/>
    <xf numFmtId="169" fontId="11" fillId="0" borderId="10" xfId="0" applyNumberFormat="1" applyFont="1" applyBorder="1" applyAlignment="1">
      <alignment horizontal="right"/>
    </xf>
    <xf numFmtId="0" fontId="11" fillId="0" borderId="8" xfId="0" applyFont="1" applyBorder="1"/>
    <xf numFmtId="169" fontId="11" fillId="0" borderId="8" xfId="0" applyNumberFormat="1" applyFont="1" applyBorder="1" applyAlignment="1">
      <alignment horizontal="right"/>
    </xf>
    <xf numFmtId="0" fontId="15" fillId="0" borderId="0" xfId="0" applyFont="1"/>
    <xf numFmtId="169" fontId="15" fillId="0" borderId="0" xfId="0" applyNumberFormat="1" applyFont="1" applyAlignment="1">
      <alignment horizontal="right"/>
    </xf>
    <xf numFmtId="169" fontId="15" fillId="0" borderId="0" xfId="0" applyNumberFormat="1" applyFont="1"/>
    <xf numFmtId="0" fontId="3" fillId="2" borderId="11" xfId="0" applyFont="1" applyFill="1" applyBorder="1" applyAlignment="1">
      <alignment vertical="center" indent="1"/>
    </xf>
    <xf numFmtId="0" fontId="16" fillId="2" borderId="12" xfId="0" applyFont="1" applyFill="1" applyBorder="1" applyAlignment="1">
      <alignment horizontal="right" vertical="center" indent="1"/>
    </xf>
    <xf numFmtId="0" fontId="13" fillId="2" borderId="12" xfId="0" applyFont="1" applyFill="1" applyBorder="1" applyAlignment="1">
      <alignment horizontal="right" vertical="center" indent="1"/>
    </xf>
    <xf numFmtId="0" fontId="13" fillId="2" borderId="13" xfId="0" applyFont="1" applyFill="1" applyBorder="1" applyAlignment="1">
      <alignment horizontal="right" vertical="center" indent="1"/>
    </xf>
    <xf numFmtId="0" fontId="9" fillId="0" borderId="14" xfId="0" applyFont="1" applyBorder="1" applyAlignment="1">
      <alignment indent="1"/>
    </xf>
    <xf numFmtId="0" fontId="11" fillId="0" borderId="15" xfId="0" applyFont="1" applyBorder="1" applyAlignment="1">
      <alignment indent="1"/>
    </xf>
    <xf numFmtId="169" fontId="11" fillId="0" borderId="16" xfId="0" applyNumberFormat="1" applyFont="1" applyBorder="1" applyAlignment="1">
      <alignment horizontal="right"/>
    </xf>
    <xf numFmtId="169" fontId="11" fillId="0" borderId="17" xfId="0" applyNumberFormat="1" applyFont="1" applyBorder="1" applyAlignment="1">
      <alignment horizontal="right"/>
    </xf>
    <xf numFmtId="0" fontId="3" fillId="2" borderId="2" xfId="0" applyFont="1" applyFill="1" applyBorder="1" applyAlignment="1">
      <alignment vertical="center" indent="1"/>
    </xf>
    <xf numFmtId="0" fontId="3" fillId="2" borderId="2" xfId="0" applyFont="1" applyFill="1" applyBorder="1"/>
    <xf numFmtId="0" fontId="8" fillId="3" borderId="18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right" vertical="center" indent="1"/>
    </xf>
    <xf numFmtId="0" fontId="8" fillId="3" borderId="8" xfId="0" applyFont="1" applyFill="1" applyBorder="1" applyAlignment="1">
      <alignment horizontal="right" vertical="center" indent="1"/>
    </xf>
    <xf numFmtId="0" fontId="8" fillId="3" borderId="7" xfId="0" applyFont="1" applyFill="1" applyBorder="1" applyAlignment="1">
      <alignment horizontal="right" vertical="center" indent="1"/>
    </xf>
    <xf numFmtId="0" fontId="7" fillId="3" borderId="14" xfId="0" applyFont="1" applyFill="1" applyBorder="1" applyAlignment="1">
      <alignment vertical="center" indent="1"/>
    </xf>
    <xf numFmtId="0" fontId="0" fillId="3" borderId="0" xfId="0" applyFill="1"/>
    <xf numFmtId="0" fontId="0" fillId="3" borderId="6" xfId="0" applyFill="1" applyBorder="1"/>
    <xf numFmtId="0" fontId="9" fillId="0" borderId="19" xfId="0" applyFont="1" applyBorder="1" applyAlignment="1">
      <alignment indent="1"/>
    </xf>
    <xf numFmtId="169" fontId="14" fillId="0" borderId="2" xfId="0" applyNumberFormat="1" applyFont="1" applyBorder="1" applyAlignment="1">
      <alignment horizontal="right"/>
    </xf>
    <xf numFmtId="169" fontId="9" fillId="0" borderId="2" xfId="0" applyNumberFormat="1" applyFont="1" applyBorder="1" applyAlignment="1">
      <alignment horizontal="right"/>
    </xf>
    <xf numFmtId="169" fontId="9" fillId="0" borderId="5" xfId="0" applyNumberFormat="1" applyFont="1" applyBorder="1" applyAlignment="1">
      <alignment horizontal="right"/>
    </xf>
    <xf numFmtId="169" fontId="14" fillId="0" borderId="0" xfId="0" applyNumberFormat="1" applyFont="1" applyAlignment="1">
      <alignment horizontal="right"/>
    </xf>
    <xf numFmtId="169" fontId="17" fillId="0" borderId="16" xfId="0" applyNumberFormat="1" applyFont="1" applyBorder="1" applyAlignment="1">
      <alignment horizontal="right"/>
    </xf>
    <xf numFmtId="0" fontId="18" fillId="0" borderId="0" xfId="0" applyFont="1" applyAlignment="1">
      <alignment horizontal="left" vertical="top" wrapText="1" indent="1"/>
    </xf>
    <xf numFmtId="0" fontId="7" fillId="0" borderId="0" xfId="0" applyFont="1" applyAlignment="1">
      <alignment vertical="center" indent="1"/>
    </xf>
    <xf numFmtId="0" fontId="19" fillId="0" borderId="0" xfId="0" applyFont="1" applyAlignment="1">
      <alignment vertical="center"/>
    </xf>
    <xf numFmtId="0" fontId="20" fillId="3" borderId="0" xfId="0" applyFont="1" applyFill="1" applyAlignment="1">
      <alignment horizontal="left" vertical="center" indent="1"/>
    </xf>
    <xf numFmtId="0" fontId="20" fillId="3" borderId="0" xfId="0" applyFont="1" applyFill="1" applyAlignment="1">
      <alignment horizontal="right" vertical="center" wrapText="1"/>
    </xf>
    <xf numFmtId="0" fontId="20" fillId="4" borderId="20" xfId="0" applyFont="1" applyFill="1" applyBorder="1" applyAlignment="1">
      <alignment horizontal="right" vertical="center"/>
    </xf>
    <xf numFmtId="0" fontId="7" fillId="0" borderId="0" xfId="0" applyFont="1" applyAlignment="1">
      <alignment horizontal="left" indent="1"/>
    </xf>
    <xf numFmtId="169" fontId="9" fillId="0" borderId="20" xfId="0" applyNumberFormat="1" applyFont="1" applyBorder="1" applyAlignment="1">
      <alignment horizontal="right"/>
    </xf>
    <xf numFmtId="0" fontId="11" fillId="3" borderId="0" xfId="0" applyFont="1" applyFill="1" applyAlignment="1">
      <alignment horizontal="left" indent="1"/>
    </xf>
    <xf numFmtId="169" fontId="11" fillId="4" borderId="20" xfId="0" applyNumberFormat="1" applyFont="1" applyFill="1" applyBorder="1" applyAlignment="1">
      <alignment horizontal="right"/>
    </xf>
    <xf numFmtId="0" fontId="8" fillId="0" borderId="21" xfId="0" applyFont="1" applyBorder="1" applyAlignment="1">
      <alignment horizontal="left" indent="1"/>
    </xf>
    <xf numFmtId="169" fontId="8" fillId="0" borderId="21" xfId="0" applyNumberFormat="1" applyFont="1" applyBorder="1" applyAlignment="1">
      <alignment horizontal="right"/>
    </xf>
    <xf numFmtId="169" fontId="8" fillId="0" borderId="22" xfId="0" applyNumberFormat="1" applyFont="1" applyBorder="1" applyAlignment="1">
      <alignment horizontal="right"/>
    </xf>
    <xf numFmtId="0" fontId="21" fillId="0" borderId="0" xfId="0" applyFont="1"/>
    <xf numFmtId="0" fontId="11" fillId="0" borderId="0" xfId="0" applyFont="1" applyAlignment="1">
      <alignment horizontal="right"/>
    </xf>
    <xf numFmtId="0" fontId="13" fillId="2" borderId="0" xfId="0" applyFont="1" applyFill="1" applyAlignment="1">
      <alignment horizontal="left" vertical="center" indent="1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 indent="1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69" fontId="9" fillId="0" borderId="0" xfId="0" applyNumberFormat="1" applyFont="1"/>
    <xf numFmtId="170" fontId="9" fillId="0" borderId="0" xfId="0" applyNumberFormat="1" applyFont="1"/>
    <xf numFmtId="166" fontId="11" fillId="0" borderId="0" xfId="0" applyNumberFormat="1" applyFont="1"/>
    <xf numFmtId="0" fontId="20" fillId="3" borderId="2" xfId="0" applyFont="1" applyFill="1" applyBorder="1"/>
    <xf numFmtId="0" fontId="20" fillId="3" borderId="2" xfId="0" applyFont="1" applyFill="1" applyBorder="1" applyAlignment="1">
      <alignment horizontal="center"/>
    </xf>
    <xf numFmtId="0" fontId="7" fillId="0" borderId="0" xfId="0" applyFont="1" applyAlignment="1">
      <alignment indent="1"/>
    </xf>
    <xf numFmtId="169" fontId="22" fillId="0" borderId="0" xfId="0" applyNumberFormat="1" applyFont="1" applyAlignment="1">
      <alignment horizontal="center"/>
    </xf>
    <xf numFmtId="0" fontId="20" fillId="0" borderId="0" xfId="0" applyFont="1" applyAlignment="1">
      <alignment indent="1"/>
    </xf>
    <xf numFmtId="169" fontId="11" fillId="5" borderId="3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top" wrapText="1" indent="1"/>
    </xf>
    <xf numFmtId="0" fontId="9" fillId="0" borderId="0" xfId="0" applyFont="1" applyAlignment="1">
      <alignment indent="1"/>
    </xf>
    <xf numFmtId="170" fontId="9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177" fontId="9" fillId="0" borderId="0" xfId="0" applyNumberFormat="1" applyFont="1" applyAlignment="1">
      <alignment horizontal="right"/>
    </xf>
    <xf numFmtId="178" fontId="9" fillId="0" borderId="0" xfId="0" applyNumberFormat="1" applyFont="1" applyAlignment="1">
      <alignment horizontal="right"/>
    </xf>
    <xf numFmtId="179" fontId="10" fillId="0" borderId="0" xfId="0" applyNumberFormat="1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3" fillId="0" borderId="0" xfId="0" applyFont="1" applyAlignment="1">
      <alignment indent="1"/>
    </xf>
    <xf numFmtId="180" fontId="23" fillId="0" borderId="0" xfId="0" applyNumberFormat="1" applyFont="1" applyAlignment="1">
      <alignment horizontal="right"/>
    </xf>
    <xf numFmtId="181" fontId="10" fillId="0" borderId="0" xfId="0" applyNumberFormat="1" applyFont="1" applyAlignment="1">
      <alignment horizontal="right"/>
    </xf>
    <xf numFmtId="170" fontId="23" fillId="0" borderId="0" xfId="0" applyNumberFormat="1" applyFont="1" applyAlignment="1">
      <alignment horizontal="right"/>
    </xf>
    <xf numFmtId="182" fontId="10" fillId="0" borderId="0" xfId="0" applyNumberFormat="1" applyFont="1" applyAlignment="1">
      <alignment horizontal="right"/>
    </xf>
    <xf numFmtId="183" fontId="9" fillId="0" borderId="0" xfId="0" applyNumberFormat="1" applyFont="1" applyAlignment="1">
      <alignment horizontal="right"/>
    </xf>
    <xf numFmtId="184" fontId="10" fillId="0" borderId="0" xfId="0" applyNumberFormat="1" applyFont="1" applyAlignment="1">
      <alignment horizontal="right"/>
    </xf>
    <xf numFmtId="185" fontId="9" fillId="0" borderId="0" xfId="0" applyNumberFormat="1" applyFont="1" applyAlignment="1">
      <alignment horizontal="right"/>
    </xf>
    <xf numFmtId="185" fontId="2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55"/>
  <sheetViews>
    <sheetView workbookViewId="0" showGridLines="0" zoomScale="100"/>
  </sheetViews>
  <sheetFormatPr defaultRowHeight="15" outlineLevelRow="0" outlineLevelCol="0" x14ac:dyDescent="55"/>
  <cols>
    <col min="1" max="1" width="6" customWidth="1"/>
    <col min="2" max="2" width="36" customWidth="1"/>
    <col min="3" max="3" width="42" customWidth="1"/>
  </cols>
  <sheetData>
    <row r="2" ht="30" customHeight="1" spans="2:3" x14ac:dyDescent="0.25">
      <c r="B2" s="1" t="s">
        <v>0</v>
      </c>
      <c r="C2" s="2"/>
    </row>
    <row r="3" ht="18" customHeight="1" spans="2:2" x14ac:dyDescent="0.25">
      <c r="B3" s="3" t="s">
        <v>1</v>
      </c>
    </row>
    <row r="4" ht="8" customHeight="1" x14ac:dyDescent="0.25"/>
    <row r="5" ht="20" customHeight="1" spans="2:3" x14ac:dyDescent="0.25">
      <c r="B5" s="4" t="s">
        <v>2</v>
      </c>
      <c r="C5" s="5"/>
    </row>
    <row r="6" spans="2:3" x14ac:dyDescent="0.25">
      <c r="B6" s="6" t="s">
        <v>3</v>
      </c>
      <c r="C6" s="7">
        <f>'Annahmen'!$C$155</f>
      </c>
    </row>
    <row r="7" spans="2:3" x14ac:dyDescent="0.25">
      <c r="B7" s="6" t="s">
        <v>4</v>
      </c>
      <c r="C7" s="7">
        <f>'GuV'!R4</f>
      </c>
    </row>
    <row r="8" spans="2:3" x14ac:dyDescent="0.25">
      <c r="B8" s="6" t="s">
        <v>5</v>
      </c>
      <c r="C8" s="7">
        <f>'GuV'!AR4</f>
      </c>
    </row>
    <row r="9" spans="2:3" x14ac:dyDescent="0.25">
      <c r="B9" s="6" t="s">
        <v>6</v>
      </c>
      <c r="C9" s="8">
        <f>IFERROR(('GuV'!AR4/'GuV'!R4)^(1/2)-1,"-")</f>
      </c>
    </row>
    <row r="10" spans="2:3" x14ac:dyDescent="0.25">
      <c r="B10" s="6" t="s">
        <v>7</v>
      </c>
      <c r="C10" s="8">
        <f>'GuV'!R63</f>
      </c>
    </row>
    <row r="11" spans="2:3" x14ac:dyDescent="0.25">
      <c r="B11" s="6" t="s">
        <v>8</v>
      </c>
      <c r="C11" s="7">
        <f>'GuV'!R59</f>
      </c>
    </row>
    <row r="12" spans="2:3" x14ac:dyDescent="0.25">
      <c r="B12" s="6" t="s">
        <v>9</v>
      </c>
      <c r="C12" s="9">
        <f>IFERROR('GuV'!R52/('Tilgungspläne'!O6+'Tilgungspläne'!O8+'Tilgungspläne'!O7),0)</f>
      </c>
    </row>
    <row r="13" spans="2:3" x14ac:dyDescent="0.25">
      <c r="B13" s="6" t="s">
        <v>10</v>
      </c>
      <c r="C13" s="8">
        <f>IFERROR('Bilanz'!G21/'Bilanz'!G22,0)</f>
      </c>
    </row>
    <row r="15" ht="20" customHeight="1" spans="2:3" x14ac:dyDescent="0.25">
      <c r="B15" s="4" t="s">
        <v>11</v>
      </c>
      <c r="C15" s="5"/>
    </row>
    <row r="16" spans="2:3" x14ac:dyDescent="0.25">
      <c r="B16" s="6" t="s">
        <v>12</v>
      </c>
      <c r="C16" s="10" t="s">
        <v>0</v>
      </c>
    </row>
    <row r="17" spans="2:3" x14ac:dyDescent="0.25">
      <c r="B17" s="6" t="s">
        <v>13</v>
      </c>
      <c r="C17" s="10" t="s">
        <v>14</v>
      </c>
    </row>
    <row r="18" spans="2:3" x14ac:dyDescent="0.25">
      <c r="B18" s="6" t="s">
        <v>15</v>
      </c>
      <c r="C18" s="10" t="s">
        <v>16</v>
      </c>
    </row>
    <row r="19" spans="2:3" x14ac:dyDescent="0.25">
      <c r="B19" s="6" t="s">
        <v>17</v>
      </c>
      <c r="C19" s="10" t="s">
        <v>18</v>
      </c>
    </row>
    <row r="20" spans="2:3" x14ac:dyDescent="0.25">
      <c r="B20" s="6" t="s">
        <v>19</v>
      </c>
      <c r="C20" s="10" t="s">
        <v>20</v>
      </c>
    </row>
    <row r="21" spans="2:3" x14ac:dyDescent="0.25">
      <c r="B21" s="6" t="s">
        <v>21</v>
      </c>
      <c r="C21" s="10" t="s">
        <v>22</v>
      </c>
    </row>
    <row r="22" spans="2:3" x14ac:dyDescent="0.25">
      <c r="B22" s="6" t="s">
        <v>23</v>
      </c>
      <c r="C22" s="10" t="s">
        <v>24</v>
      </c>
    </row>
    <row r="23" spans="2:3" x14ac:dyDescent="0.25">
      <c r="B23" s="6" t="s">
        <v>25</v>
      </c>
      <c r="C23" s="10" t="s">
        <v>26</v>
      </c>
    </row>
    <row r="24" spans="2:3" x14ac:dyDescent="0.25">
      <c r="B24" s="6" t="s">
        <v>27</v>
      </c>
      <c r="C24" s="10" t="s">
        <v>28</v>
      </c>
    </row>
    <row r="26" ht="20" customHeight="1" spans="2:3" x14ac:dyDescent="0.25">
      <c r="B26" s="4" t="s">
        <v>29</v>
      </c>
      <c r="C26" s="5"/>
    </row>
    <row r="27" spans="2:3" x14ac:dyDescent="0.25">
      <c r="B27" s="6" t="s">
        <v>30</v>
      </c>
      <c r="C27" s="10" t="s">
        <v>31</v>
      </c>
    </row>
    <row r="28" spans="2:3" x14ac:dyDescent="0.25">
      <c r="B28" s="6" t="s">
        <v>32</v>
      </c>
      <c r="C28" s="10" t="s">
        <v>33</v>
      </c>
    </row>
    <row r="29" spans="2:3" x14ac:dyDescent="0.25">
      <c r="B29" s="6" t="s">
        <v>34</v>
      </c>
      <c r="C29" s="10" t="s">
        <v>35</v>
      </c>
    </row>
    <row r="30" spans="2:3" x14ac:dyDescent="0.25">
      <c r="B30" s="6" t="s">
        <v>36</v>
      </c>
      <c r="C30" s="10" t="s">
        <v>37</v>
      </c>
    </row>
    <row r="31" spans="2:3" x14ac:dyDescent="0.25">
      <c r="B31" s="6" t="s">
        <v>38</v>
      </c>
      <c r="C31" s="10" t="s">
        <v>39</v>
      </c>
    </row>
    <row r="32" spans="2:3" x14ac:dyDescent="0.25">
      <c r="B32" s="6" t="s">
        <v>40</v>
      </c>
      <c r="C32" s="10" t="s">
        <v>41</v>
      </c>
    </row>
    <row r="34" spans="2:2" x14ac:dyDescent="0.25">
      <c r="B34" s="11" t="s">
        <v>42</v>
      </c>
    </row>
    <row r="35" spans="2:3" x14ac:dyDescent="0.25">
      <c r="B35" s="6" t="s">
        <v>30</v>
      </c>
      <c r="C35" s="10" t="s">
        <v>43</v>
      </c>
    </row>
    <row r="36" spans="2:3" x14ac:dyDescent="0.25">
      <c r="B36" s="6" t="s">
        <v>36</v>
      </c>
      <c r="C36" s="10" t="s">
        <v>44</v>
      </c>
    </row>
    <row r="37" spans="2:3" x14ac:dyDescent="0.25">
      <c r="B37" s="6" t="s">
        <v>38</v>
      </c>
      <c r="C37" s="10" t="s">
        <v>45</v>
      </c>
    </row>
    <row r="38" spans="2:3" x14ac:dyDescent="0.25">
      <c r="B38" s="6" t="s">
        <v>40</v>
      </c>
      <c r="C38" s="10" t="s">
        <v>46</v>
      </c>
    </row>
    <row r="40" ht="20" customHeight="1" spans="2:3" x14ac:dyDescent="0.25">
      <c r="B40" s="4" t="s">
        <v>47</v>
      </c>
      <c r="C40" s="5"/>
    </row>
    <row r="41" spans="2:3" x14ac:dyDescent="0.25">
      <c r="B41" s="6" t="s">
        <v>3</v>
      </c>
      <c r="C41" s="7">
        <f>'Annahmen'!$C$155</f>
      </c>
    </row>
    <row r="42" spans="2:3" x14ac:dyDescent="0.25">
      <c r="B42" s="6" t="s">
        <v>48</v>
      </c>
      <c r="C42" s="12">
        <f>'Annahmen'!$E$155</f>
      </c>
    </row>
    <row r="43" spans="2:3" x14ac:dyDescent="0.25">
      <c r="B43" s="6" t="s">
        <v>49</v>
      </c>
      <c r="C43" s="13">
        <f>'Annahmen'!$D$155</f>
      </c>
    </row>
    <row r="44" spans="2:3" x14ac:dyDescent="0.25">
      <c r="B44" s="6" t="s">
        <v>50</v>
      </c>
      <c r="C44" s="10" t="s">
        <v>51</v>
      </c>
    </row>
    <row r="45" spans="2:3" x14ac:dyDescent="0.25">
      <c r="B45" s="6" t="s">
        <v>52</v>
      </c>
      <c r="C45" s="10" t="s">
        <v>53</v>
      </c>
    </row>
    <row r="46" spans="2:3" x14ac:dyDescent="0.25">
      <c r="B46" s="6" t="s">
        <v>54</v>
      </c>
      <c r="C46" s="10" t="s">
        <v>55</v>
      </c>
    </row>
    <row r="47" spans="2:3" x14ac:dyDescent="0.25">
      <c r="B47" s="6" t="s">
        <v>56</v>
      </c>
      <c r="C47" s="10" t="s">
        <v>57</v>
      </c>
    </row>
    <row r="48" spans="2:3" x14ac:dyDescent="0.25">
      <c r="B48" s="6" t="s">
        <v>58</v>
      </c>
      <c r="C48" s="12">
        <v>4</v>
      </c>
    </row>
    <row r="49" spans="2:3" x14ac:dyDescent="0.25">
      <c r="B49" s="6" t="s">
        <v>59</v>
      </c>
      <c r="C49" s="7">
        <v>2400000</v>
      </c>
    </row>
    <row r="50" spans="2:3" x14ac:dyDescent="0.25">
      <c r="B50" s="6" t="s">
        <v>60</v>
      </c>
      <c r="C50" s="7">
        <v>150000</v>
      </c>
    </row>
    <row r="51" spans="2:3" x14ac:dyDescent="0.25">
      <c r="B51" s="6" t="s">
        <v>61</v>
      </c>
      <c r="C51" s="10" t="s">
        <v>62</v>
      </c>
    </row>
    <row r="54" ht="14" customHeight="1" spans="2:2" x14ac:dyDescent="0.25">
      <c r="B54" s="14" t="s">
        <v>63</v>
      </c>
    </row>
    <row r="55" ht="14" customHeight="1" spans="2:2" x14ac:dyDescent="0.25">
      <c r="B55" s="14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sheetData>
    <row r="1" spans="1:2" x14ac:dyDescent="0.25">
      <c r="A1" t="s">
        <v>502</v>
      </c>
      <c r="B1" t="s">
        <v>503</v>
      </c>
    </row>
    <row r="2" spans="1:1" x14ac:dyDescent="0.25">
      <c r="A2">
        <v>2</v>
      </c>
    </row>
    <row r="3" spans="1:1" x14ac:dyDescent="0.25">
      <c r="A3" t="s">
        <v>504</v>
      </c>
    </row>
    <row r="4" spans="1:1" x14ac:dyDescent="0.25">
      <c r="A4" t="s">
        <v>505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P276"/>
  <sheetViews>
    <sheetView workbookViewId="0" showGridLines="0" zoomScale="100"/>
  </sheetViews>
  <sheetFormatPr defaultRowHeight="15" outlineLevelRow="0" outlineLevelCol="0" x14ac:dyDescent="55"/>
  <cols>
    <col min="1" max="1" width="5" customWidth="1"/>
    <col min="2" max="2" width="42" customWidth="1"/>
    <col min="3" max="3" width="20" customWidth="1"/>
    <col min="4" max="42" width="16" customWidth="1"/>
  </cols>
  <sheetData>
    <row r="1" spans="2:2" x14ac:dyDescent="0.25">
      <c r="B1" s="14" t="s">
        <v>65</v>
      </c>
    </row>
    <row r="2" ht="28" customHeight="1" spans="2:42" x14ac:dyDescent="0.25">
      <c r="B2" s="15" t="s">
        <v>66</v>
      </c>
      <c r="AP2" s="16" t="s">
        <v>67</v>
      </c>
    </row>
    <row r="3" ht="20" customHeight="1" spans="2:5" x14ac:dyDescent="0.25">
      <c r="B3" s="4" t="s">
        <v>68</v>
      </c>
      <c r="C3" s="5"/>
      <c r="D3" s="5"/>
      <c r="E3" s="5"/>
    </row>
    <row r="4" ht="20" customHeight="1" spans="2:5" x14ac:dyDescent="0.25">
      <c r="B4" s="17" t="s">
        <v>69</v>
      </c>
      <c r="C4" s="18" t="s">
        <v>70</v>
      </c>
      <c r="D4" s="18" t="s">
        <v>71</v>
      </c>
      <c r="E4" s="18" t="s">
        <v>72</v>
      </c>
    </row>
    <row r="5" spans="2:5" x14ac:dyDescent="0.25">
      <c r="B5" s="19" t="s">
        <v>73</v>
      </c>
      <c r="C5" s="20">
        <v>149</v>
      </c>
      <c r="D5" s="20">
        <v>5500</v>
      </c>
      <c r="E5" s="21">
        <v>0.22</v>
      </c>
    </row>
    <row r="6" spans="2:5" x14ac:dyDescent="0.25">
      <c r="B6" s="19" t="s">
        <v>74</v>
      </c>
      <c r="C6" s="20">
        <v>89</v>
      </c>
      <c r="D6" s="20">
        <v>2500</v>
      </c>
      <c r="E6" s="21">
        <v>0.35</v>
      </c>
    </row>
    <row r="7" spans="2:5" x14ac:dyDescent="0.25">
      <c r="B7" s="19" t="s">
        <v>75</v>
      </c>
      <c r="C7" s="20">
        <v>1450</v>
      </c>
      <c r="D7" s="20">
        <v>420</v>
      </c>
      <c r="E7" s="21">
        <v>0.18</v>
      </c>
    </row>
    <row r="8" spans="2:5" x14ac:dyDescent="0.25">
      <c r="B8" s="19" t="s">
        <v>76</v>
      </c>
      <c r="C8" s="20">
        <v>299</v>
      </c>
      <c r="D8" s="20">
        <v>1400</v>
      </c>
      <c r="E8" s="21">
        <v>0.28</v>
      </c>
    </row>
    <row r="9" spans="2:5" x14ac:dyDescent="0.25">
      <c r="B9" s="19" t="s">
        <v>77</v>
      </c>
      <c r="C9" s="20">
        <v>12000</v>
      </c>
      <c r="D9" s="20">
        <v>8</v>
      </c>
      <c r="E9" s="21">
        <v>0.4</v>
      </c>
    </row>
    <row r="10" spans="2:5" x14ac:dyDescent="0.25">
      <c r="B10" s="19" t="s">
        <v>78</v>
      </c>
      <c r="C10" s="20">
        <v>4200</v>
      </c>
      <c r="D10" s="20">
        <v>120</v>
      </c>
      <c r="E10" s="21">
        <v>0.05</v>
      </c>
    </row>
    <row r="11" spans="2:5" x14ac:dyDescent="0.25">
      <c r="B11" s="19" t="s">
        <v>79</v>
      </c>
      <c r="C11" s="20">
        <v>18500</v>
      </c>
      <c r="D11" s="20">
        <v>36</v>
      </c>
      <c r="E11" s="21">
        <v>0.15</v>
      </c>
    </row>
    <row r="14" ht="20" customHeight="1" spans="2:5" x14ac:dyDescent="0.25">
      <c r="B14" s="4" t="s">
        <v>80</v>
      </c>
      <c r="C14" s="5"/>
      <c r="D14" s="5"/>
      <c r="E14" s="5"/>
    </row>
    <row r="15" ht="20" customHeight="1" spans="2:5" x14ac:dyDescent="0.25">
      <c r="B15" s="17" t="s">
        <v>69</v>
      </c>
      <c r="C15" s="18" t="s">
        <v>70</v>
      </c>
      <c r="D15" s="18" t="s">
        <v>71</v>
      </c>
      <c r="E15" s="18" t="s">
        <v>72</v>
      </c>
    </row>
    <row r="16" spans="2:5" x14ac:dyDescent="0.25">
      <c r="B16" s="19" t="s">
        <v>81</v>
      </c>
      <c r="C16" s="20">
        <v>28000</v>
      </c>
      <c r="D16" s="22">
        <f>SUM(C23:N23)</f>
      </c>
      <c r="E16" s="21">
        <v>0.1</v>
      </c>
    </row>
    <row r="17" spans="2:5" x14ac:dyDescent="0.25">
      <c r="B17" s="19" t="s">
        <v>82</v>
      </c>
      <c r="C17" s="20">
        <v>9500</v>
      </c>
      <c r="D17" s="22">
        <f>SUM(C24:N24)</f>
      </c>
      <c r="E17" s="21">
        <v>0.12</v>
      </c>
    </row>
    <row r="18" spans="2:5" x14ac:dyDescent="0.25">
      <c r="B18" s="19" t="s">
        <v>83</v>
      </c>
      <c r="C18" s="20">
        <v>3800</v>
      </c>
      <c r="D18" s="22">
        <f>SUM(C25:N25)</f>
      </c>
      <c r="E18" s="21">
        <v>0.08</v>
      </c>
    </row>
    <row r="21" ht="20" customHeight="1" spans="2:15" x14ac:dyDescent="0.25">
      <c r="B21" s="4" t="s">
        <v>84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ht="20" customHeight="1" spans="2:15" x14ac:dyDescent="0.25">
      <c r="B22" s="17" t="s">
        <v>85</v>
      </c>
      <c r="C22" s="18" t="s">
        <v>86</v>
      </c>
      <c r="D22" s="18" t="s">
        <v>87</v>
      </c>
      <c r="E22" s="18" t="s">
        <v>88</v>
      </c>
      <c r="F22" s="18" t="s">
        <v>89</v>
      </c>
      <c r="G22" s="18" t="s">
        <v>90</v>
      </c>
      <c r="H22" s="18" t="s">
        <v>91</v>
      </c>
      <c r="I22" s="18" t="s">
        <v>92</v>
      </c>
      <c r="J22" s="18" t="s">
        <v>93</v>
      </c>
      <c r="K22" s="18" t="s">
        <v>94</v>
      </c>
      <c r="L22" s="18" t="s">
        <v>95</v>
      </c>
      <c r="M22" s="18" t="s">
        <v>96</v>
      </c>
      <c r="N22" s="18" t="s">
        <v>97</v>
      </c>
      <c r="O22" s="18" t="s">
        <v>98</v>
      </c>
    </row>
    <row r="23" spans="2:15" x14ac:dyDescent="0.25">
      <c r="B23" s="19" t="s">
        <v>81</v>
      </c>
      <c r="C23" s="20">
        <v>0</v>
      </c>
      <c r="D23" s="20">
        <v>0</v>
      </c>
      <c r="E23" s="20">
        <v>1</v>
      </c>
      <c r="F23" s="20">
        <v>1</v>
      </c>
      <c r="G23" s="20">
        <v>1</v>
      </c>
      <c r="H23" s="20">
        <v>2</v>
      </c>
      <c r="I23" s="20">
        <v>1</v>
      </c>
      <c r="J23" s="20">
        <v>1</v>
      </c>
      <c r="K23" s="20">
        <v>2</v>
      </c>
      <c r="L23" s="20">
        <v>2</v>
      </c>
      <c r="M23" s="20">
        <v>3</v>
      </c>
      <c r="N23" s="20">
        <v>5</v>
      </c>
      <c r="O23" s="23">
        <f>SUM(C23:N23)</f>
      </c>
    </row>
    <row r="24" spans="2:15" x14ac:dyDescent="0.25">
      <c r="B24" s="19" t="s">
        <v>82</v>
      </c>
      <c r="C24" s="20">
        <v>3</v>
      </c>
      <c r="D24" s="20">
        <v>3</v>
      </c>
      <c r="E24" s="20">
        <v>4</v>
      </c>
      <c r="F24" s="20">
        <v>5</v>
      </c>
      <c r="G24" s="20">
        <v>4</v>
      </c>
      <c r="H24" s="20">
        <v>5</v>
      </c>
      <c r="I24" s="20">
        <v>3</v>
      </c>
      <c r="J24" s="20">
        <v>2</v>
      </c>
      <c r="K24" s="20">
        <v>4</v>
      </c>
      <c r="L24" s="20">
        <v>5</v>
      </c>
      <c r="M24" s="20">
        <v>6</v>
      </c>
      <c r="N24" s="20">
        <v>8</v>
      </c>
      <c r="O24" s="23">
        <f>SUM(C24:N24)</f>
      </c>
    </row>
    <row r="25" spans="2:15" x14ac:dyDescent="0.25">
      <c r="B25" s="19" t="s">
        <v>83</v>
      </c>
      <c r="C25" s="20">
        <v>2</v>
      </c>
      <c r="D25" s="20">
        <v>3</v>
      </c>
      <c r="E25" s="20">
        <v>4</v>
      </c>
      <c r="F25" s="20">
        <v>6</v>
      </c>
      <c r="G25" s="20">
        <v>5</v>
      </c>
      <c r="H25" s="20">
        <v>2</v>
      </c>
      <c r="I25" s="20">
        <v>1</v>
      </c>
      <c r="J25" s="20">
        <v>1</v>
      </c>
      <c r="K25" s="20">
        <v>3</v>
      </c>
      <c r="L25" s="20">
        <v>5</v>
      </c>
      <c r="M25" s="20">
        <v>6</v>
      </c>
      <c r="N25" s="20">
        <v>8</v>
      </c>
      <c r="O25" s="23">
        <f>SUM(C25:N25)</f>
      </c>
    </row>
    <row r="28" ht="20" customHeight="1" spans="2:5" x14ac:dyDescent="0.25">
      <c r="B28" s="4" t="s">
        <v>99</v>
      </c>
      <c r="C28" s="5"/>
      <c r="D28" s="5"/>
      <c r="E28" s="5"/>
    </row>
    <row r="29" ht="20" customHeight="1" spans="2:5" x14ac:dyDescent="0.25">
      <c r="B29" s="17" t="s">
        <v>100</v>
      </c>
      <c r="C29" s="18" t="s">
        <v>101</v>
      </c>
      <c r="D29" s="18" t="s">
        <v>102</v>
      </c>
      <c r="E29" s="18" t="s">
        <v>103</v>
      </c>
    </row>
    <row r="30" spans="2:5" x14ac:dyDescent="0.25">
      <c r="B30" s="19" t="s">
        <v>104</v>
      </c>
      <c r="C30" s="24">
        <v>7</v>
      </c>
      <c r="D30" s="24">
        <v>2026</v>
      </c>
      <c r="E30" s="20">
        <v>45000</v>
      </c>
    </row>
    <row r="31" spans="2:5" x14ac:dyDescent="0.25">
      <c r="B31" s="19" t="s">
        <v>105</v>
      </c>
      <c r="C31" s="24">
        <v>8</v>
      </c>
      <c r="D31" s="24">
        <v>2026</v>
      </c>
      <c r="E31" s="20">
        <v>45000</v>
      </c>
    </row>
    <row r="32" spans="2:5" x14ac:dyDescent="0.25">
      <c r="B32" s="19" t="s">
        <v>105</v>
      </c>
      <c r="C32" s="24">
        <v>9</v>
      </c>
      <c r="D32" s="24">
        <v>2026</v>
      </c>
      <c r="E32" s="20">
        <v>35000</v>
      </c>
    </row>
    <row r="33" spans="2:5" x14ac:dyDescent="0.25">
      <c r="B33" s="19" t="s">
        <v>105</v>
      </c>
      <c r="C33" s="24">
        <v>10</v>
      </c>
      <c r="D33" s="24">
        <v>2026</v>
      </c>
      <c r="E33" s="20">
        <v>25000</v>
      </c>
    </row>
    <row r="34" spans="2:5" x14ac:dyDescent="0.25">
      <c r="B34" s="19" t="s">
        <v>105</v>
      </c>
      <c r="C34" s="24">
        <v>4</v>
      </c>
      <c r="D34" s="24">
        <v>2027</v>
      </c>
      <c r="E34" s="20">
        <v>15000</v>
      </c>
    </row>
    <row r="35" spans="2:5" x14ac:dyDescent="0.25">
      <c r="B35" s="25" t="s">
        <v>105</v>
      </c>
      <c r="C35" s="26">
        <v>5</v>
      </c>
      <c r="D35" s="26">
        <v>2027</v>
      </c>
      <c r="E35" s="27">
        <v>15000</v>
      </c>
    </row>
    <row r="36" spans="2:5" x14ac:dyDescent="0.25">
      <c r="B36" s="19" t="s">
        <v>106</v>
      </c>
      <c r="C36" s="24">
        <v>12</v>
      </c>
      <c r="D36" s="24">
        <v>2027</v>
      </c>
      <c r="E36" s="20">
        <v>180000</v>
      </c>
    </row>
    <row r="39" ht="20" customHeight="1" spans="2:5" x14ac:dyDescent="0.25">
      <c r="B39" s="4" t="s">
        <v>107</v>
      </c>
      <c r="C39" s="5"/>
      <c r="D39" s="5"/>
      <c r="E39" s="5"/>
    </row>
    <row r="40" ht="20" customHeight="1" spans="2:5" x14ac:dyDescent="0.25">
      <c r="B40" s="17" t="s">
        <v>108</v>
      </c>
      <c r="C40" s="28" t="s">
        <v>109</v>
      </c>
      <c r="D40" s="18" t="s">
        <v>110</v>
      </c>
      <c r="E40" s="18" t="s">
        <v>111</v>
      </c>
    </row>
    <row r="41" spans="2:5" x14ac:dyDescent="0.25">
      <c r="B41" s="29" t="s">
        <v>112</v>
      </c>
      <c r="C41" s="30">
        <v>2</v>
      </c>
      <c r="D41" s="20">
        <v>145000</v>
      </c>
      <c r="E41" s="21">
        <v>0.03</v>
      </c>
    </row>
    <row r="42" spans="2:5" x14ac:dyDescent="0.25">
      <c r="B42" s="19" t="s">
        <v>113</v>
      </c>
      <c r="C42" s="30">
        <v>5</v>
      </c>
      <c r="D42" s="20">
        <v>78000</v>
      </c>
      <c r="E42" s="21">
        <v>0.04</v>
      </c>
    </row>
    <row r="43" spans="2:5" x14ac:dyDescent="0.25">
      <c r="B43" s="19" t="s">
        <v>114</v>
      </c>
      <c r="C43" s="30">
        <v>3</v>
      </c>
      <c r="D43" s="20">
        <v>72000</v>
      </c>
      <c r="E43" s="21">
        <v>0.04</v>
      </c>
    </row>
    <row r="44" spans="2:5" x14ac:dyDescent="0.25">
      <c r="B44" s="19" t="s">
        <v>115</v>
      </c>
      <c r="C44" s="30">
        <v>3</v>
      </c>
      <c r="D44" s="20">
        <v>74000</v>
      </c>
      <c r="E44" s="21">
        <v>0.03</v>
      </c>
    </row>
    <row r="45" spans="2:5" x14ac:dyDescent="0.25">
      <c r="B45" s="19" t="s">
        <v>116</v>
      </c>
      <c r="C45" s="30">
        <v>2</v>
      </c>
      <c r="D45" s="20">
        <v>82000</v>
      </c>
      <c r="E45" s="21">
        <v>0.05</v>
      </c>
    </row>
    <row r="46" spans="2:5" x14ac:dyDescent="0.25">
      <c r="B46" s="19" t="s">
        <v>117</v>
      </c>
      <c r="C46" s="30">
        <v>2</v>
      </c>
      <c r="D46" s="20">
        <v>68000</v>
      </c>
      <c r="E46" s="21">
        <v>0.03</v>
      </c>
    </row>
    <row r="47" spans="2:5" x14ac:dyDescent="0.25">
      <c r="B47" s="19" t="s">
        <v>118</v>
      </c>
      <c r="C47" s="30">
        <v>4</v>
      </c>
      <c r="D47" s="20">
        <v>62000</v>
      </c>
      <c r="E47" s="21">
        <v>0.03</v>
      </c>
    </row>
    <row r="48" spans="2:5" x14ac:dyDescent="0.25">
      <c r="B48" s="19" t="s">
        <v>119</v>
      </c>
      <c r="C48" s="30">
        <v>3</v>
      </c>
      <c r="D48" s="20">
        <v>48000</v>
      </c>
      <c r="E48" s="21">
        <v>0.02</v>
      </c>
    </row>
    <row r="49" spans="2:5" x14ac:dyDescent="0.25">
      <c r="B49" s="19" t="s">
        <v>120</v>
      </c>
      <c r="C49" s="30">
        <v>2</v>
      </c>
      <c r="D49" s="20">
        <v>52000</v>
      </c>
      <c r="E49" s="21">
        <v>0.02</v>
      </c>
    </row>
    <row r="52" ht="20" customHeight="1" spans="2:7" x14ac:dyDescent="0.25">
      <c r="B52" s="4" t="s">
        <v>121</v>
      </c>
      <c r="C52" s="5"/>
      <c r="D52" s="5"/>
      <c r="E52" s="5"/>
      <c r="F52" s="5"/>
      <c r="G52" s="5"/>
    </row>
    <row r="53" ht="20" customHeight="1" spans="2:7" x14ac:dyDescent="0.25">
      <c r="B53" s="17" t="s">
        <v>30</v>
      </c>
      <c r="C53" s="18" t="s">
        <v>122</v>
      </c>
      <c r="D53" s="18" t="s">
        <v>123</v>
      </c>
      <c r="E53" s="18" t="s">
        <v>102</v>
      </c>
      <c r="F53" s="18" t="s">
        <v>124</v>
      </c>
      <c r="G53" s="18" t="s">
        <v>102</v>
      </c>
    </row>
    <row r="54" spans="2:7" x14ac:dyDescent="0.25">
      <c r="B54" s="19" t="s">
        <v>125</v>
      </c>
      <c r="C54" s="20">
        <v>7500</v>
      </c>
      <c r="D54" s="24">
        <v>3</v>
      </c>
      <c r="E54" s="24">
        <v>2026</v>
      </c>
      <c r="F54" s="24">
        <v>9</v>
      </c>
      <c r="G54" s="24">
        <v>2026</v>
      </c>
    </row>
    <row r="55" spans="2:7" x14ac:dyDescent="0.25">
      <c r="B55" s="19" t="s">
        <v>126</v>
      </c>
      <c r="C55" s="20">
        <v>9000</v>
      </c>
      <c r="D55" s="24">
        <v>6</v>
      </c>
      <c r="E55" s="24">
        <v>2026</v>
      </c>
      <c r="F55" s="24">
        <v>8</v>
      </c>
      <c r="G55" s="24">
        <v>2026</v>
      </c>
    </row>
    <row r="56" spans="2:7" x14ac:dyDescent="0.25">
      <c r="B56" s="19" t="s">
        <v>127</v>
      </c>
      <c r="C56" s="20">
        <v>1800</v>
      </c>
      <c r="D56" s="24">
        <v>1</v>
      </c>
      <c r="E56" s="24">
        <v>2026</v>
      </c>
      <c r="F56" s="24">
        <v>12</v>
      </c>
      <c r="G56" s="24">
        <v>2027</v>
      </c>
    </row>
    <row r="57" spans="2:7" x14ac:dyDescent="0.25">
      <c r="B57" s="19" t="s">
        <v>128</v>
      </c>
      <c r="C57" s="20">
        <v>14000</v>
      </c>
      <c r="D57" s="24">
        <v>1</v>
      </c>
      <c r="E57" s="24">
        <v>2028</v>
      </c>
      <c r="F57" s="24">
        <v>6</v>
      </c>
      <c r="G57" s="24">
        <v>2028</v>
      </c>
    </row>
    <row r="60" ht="20" customHeight="1" spans="2:7" x14ac:dyDescent="0.25">
      <c r="B60" s="4" t="s">
        <v>129</v>
      </c>
      <c r="C60" s="5"/>
      <c r="D60" s="5"/>
      <c r="E60" s="5"/>
      <c r="F60" s="5"/>
      <c r="G60" s="5"/>
    </row>
    <row r="61" ht="20" customHeight="1" spans="2:7" x14ac:dyDescent="0.25">
      <c r="B61" s="17" t="s">
        <v>130</v>
      </c>
      <c r="C61" s="17" t="s">
        <v>131</v>
      </c>
      <c r="D61" s="28" t="s">
        <v>109</v>
      </c>
      <c r="E61" s="18" t="s">
        <v>110</v>
      </c>
      <c r="F61" s="18" t="s">
        <v>132</v>
      </c>
      <c r="G61" s="18" t="s">
        <v>102</v>
      </c>
    </row>
    <row r="62" spans="2:7" x14ac:dyDescent="0.25">
      <c r="B62" s="19" t="s">
        <v>113</v>
      </c>
      <c r="C62" s="31" t="s">
        <v>133</v>
      </c>
      <c r="D62" s="30">
        <v>2</v>
      </c>
      <c r="E62" s="20">
        <v>78000</v>
      </c>
      <c r="F62" s="24">
        <v>3</v>
      </c>
      <c r="G62" s="24">
        <v>2026</v>
      </c>
    </row>
    <row r="63" spans="2:7" x14ac:dyDescent="0.25">
      <c r="B63" s="19" t="s">
        <v>116</v>
      </c>
      <c r="C63" s="31" t="s">
        <v>133</v>
      </c>
      <c r="D63" s="30">
        <v>1</v>
      </c>
      <c r="E63" s="20">
        <v>82000</v>
      </c>
      <c r="F63" s="24">
        <v>9</v>
      </c>
      <c r="G63" s="24">
        <v>2026</v>
      </c>
    </row>
    <row r="64" spans="2:7" x14ac:dyDescent="0.25">
      <c r="B64" s="19" t="s">
        <v>118</v>
      </c>
      <c r="C64" s="31" t="s">
        <v>133</v>
      </c>
      <c r="D64" s="30">
        <v>2</v>
      </c>
      <c r="E64" s="20">
        <v>62000</v>
      </c>
      <c r="F64" s="24">
        <v>1</v>
      </c>
      <c r="G64" s="24">
        <v>2027</v>
      </c>
    </row>
    <row r="65" spans="2:7" x14ac:dyDescent="0.25">
      <c r="B65" s="19" t="s">
        <v>119</v>
      </c>
      <c r="C65" s="31" t="s">
        <v>133</v>
      </c>
      <c r="D65" s="30">
        <v>1</v>
      </c>
      <c r="E65" s="20">
        <v>48000</v>
      </c>
      <c r="F65" s="24">
        <v>6</v>
      </c>
      <c r="G65" s="24">
        <v>2027</v>
      </c>
    </row>
    <row r="66" spans="2:7" x14ac:dyDescent="0.25">
      <c r="B66" s="19" t="s">
        <v>134</v>
      </c>
      <c r="C66" s="31" t="s">
        <v>133</v>
      </c>
      <c r="D66" s="30">
        <v>1</v>
      </c>
      <c r="E66" s="20">
        <v>55000</v>
      </c>
      <c r="F66" s="24">
        <v>4</v>
      </c>
      <c r="G66" s="24">
        <v>2028</v>
      </c>
    </row>
    <row r="67" spans="2:7" x14ac:dyDescent="0.25">
      <c r="B67" s="19" t="s">
        <v>113</v>
      </c>
      <c r="C67" s="31" t="s">
        <v>135</v>
      </c>
      <c r="D67" s="30">
        <v>1</v>
      </c>
      <c r="E67" s="20">
        <v>78000</v>
      </c>
      <c r="F67" s="24">
        <v>1</v>
      </c>
      <c r="G67" s="24">
        <v>2026</v>
      </c>
    </row>
    <row r="70" ht="20" customHeight="1" spans="2:4" x14ac:dyDescent="0.25">
      <c r="B70" s="4" t="s">
        <v>136</v>
      </c>
      <c r="C70" s="5"/>
      <c r="D70" s="5"/>
    </row>
    <row r="71" ht="20" customHeight="1" spans="2:4" x14ac:dyDescent="0.25">
      <c r="B71" s="17" t="s">
        <v>100</v>
      </c>
      <c r="C71" s="18" t="s">
        <v>137</v>
      </c>
      <c r="D71" s="18" t="s">
        <v>111</v>
      </c>
    </row>
    <row r="72" spans="2:4" x14ac:dyDescent="0.25">
      <c r="B72" s="19" t="s">
        <v>138</v>
      </c>
      <c r="C72" s="20">
        <v>108000</v>
      </c>
      <c r="D72" s="21">
        <v>0.03</v>
      </c>
    </row>
    <row r="73" spans="2:4" x14ac:dyDescent="0.25">
      <c r="B73" s="19" t="s">
        <v>139</v>
      </c>
      <c r="C73" s="20">
        <v>144000</v>
      </c>
      <c r="D73" s="21">
        <v>0.03</v>
      </c>
    </row>
    <row r="74" spans="2:4" x14ac:dyDescent="0.25">
      <c r="B74" s="19" t="s">
        <v>140</v>
      </c>
      <c r="C74" s="20">
        <v>72000</v>
      </c>
      <c r="D74" s="21">
        <v>0.03</v>
      </c>
    </row>
    <row r="75" spans="2:4" x14ac:dyDescent="0.25">
      <c r="B75" s="19" t="s">
        <v>141</v>
      </c>
      <c r="C75" s="20">
        <v>24000</v>
      </c>
      <c r="D75" s="21">
        <v>0.03</v>
      </c>
    </row>
    <row r="76" spans="2:4" x14ac:dyDescent="0.25">
      <c r="B76" s="19" t="s">
        <v>142</v>
      </c>
      <c r="C76" s="20">
        <v>110400</v>
      </c>
      <c r="D76" s="21">
        <v>0.03</v>
      </c>
    </row>
    <row r="79" ht="20" customHeight="1" spans="2:6" x14ac:dyDescent="0.25">
      <c r="B79" s="4" t="s">
        <v>143</v>
      </c>
      <c r="C79" s="5"/>
      <c r="D79" s="5"/>
      <c r="E79" s="5"/>
      <c r="F79" s="5"/>
    </row>
    <row r="80" ht="20" customHeight="1" spans="2:6" x14ac:dyDescent="0.25">
      <c r="B80" s="17" t="s">
        <v>144</v>
      </c>
      <c r="C80" s="18" t="s">
        <v>103</v>
      </c>
      <c r="D80" s="28" t="s">
        <v>145</v>
      </c>
      <c r="E80" s="18" t="s">
        <v>132</v>
      </c>
      <c r="F80" s="18" t="s">
        <v>102</v>
      </c>
    </row>
    <row r="81" spans="2:6" x14ac:dyDescent="0.25">
      <c r="B81" s="19" t="s">
        <v>146</v>
      </c>
      <c r="C81" s="20">
        <v>220000</v>
      </c>
      <c r="D81" s="30">
        <v>5</v>
      </c>
      <c r="E81" s="24">
        <v>2</v>
      </c>
      <c r="F81" s="24">
        <v>2026</v>
      </c>
    </row>
    <row r="82" spans="2:6" x14ac:dyDescent="0.25">
      <c r="B82" s="19" t="s">
        <v>147</v>
      </c>
      <c r="C82" s="20">
        <v>280000</v>
      </c>
      <c r="D82" s="30">
        <v>3</v>
      </c>
      <c r="E82" s="24">
        <v>4</v>
      </c>
      <c r="F82" s="24">
        <v>2026</v>
      </c>
    </row>
    <row r="83" spans="2:6" x14ac:dyDescent="0.25">
      <c r="B83" s="19" t="s">
        <v>148</v>
      </c>
      <c r="C83" s="20">
        <v>135000</v>
      </c>
      <c r="D83" s="30">
        <v>10</v>
      </c>
      <c r="E83" s="24">
        <v>6</v>
      </c>
      <c r="F83" s="24">
        <v>2026</v>
      </c>
    </row>
    <row r="84" spans="2:6" x14ac:dyDescent="0.25">
      <c r="B84" s="19" t="s">
        <v>149</v>
      </c>
      <c r="C84" s="20">
        <v>55000</v>
      </c>
      <c r="D84" s="30">
        <v>6</v>
      </c>
      <c r="E84" s="24">
        <v>9</v>
      </c>
      <c r="F84" s="24">
        <v>2026</v>
      </c>
    </row>
    <row r="85" spans="2:6" x14ac:dyDescent="0.25">
      <c r="B85" s="19" t="s">
        <v>150</v>
      </c>
      <c r="C85" s="20">
        <v>195000</v>
      </c>
      <c r="D85" s="30">
        <v>4</v>
      </c>
      <c r="E85" s="24">
        <v>1</v>
      </c>
      <c r="F85" s="24">
        <v>2027</v>
      </c>
    </row>
    <row r="86" spans="2:6" x14ac:dyDescent="0.25">
      <c r="B86" s="19" t="s">
        <v>151</v>
      </c>
      <c r="C86" s="20">
        <v>88000</v>
      </c>
      <c r="D86" s="30">
        <v>5</v>
      </c>
      <c r="E86" s="24">
        <v>5</v>
      </c>
      <c r="F86" s="24">
        <v>2027</v>
      </c>
    </row>
    <row r="87" spans="2:6" x14ac:dyDescent="0.25">
      <c r="B87" s="19" t="s">
        <v>152</v>
      </c>
      <c r="C87" s="20">
        <v>45000</v>
      </c>
      <c r="D87" s="30">
        <v>3</v>
      </c>
      <c r="E87" s="24">
        <v>11</v>
      </c>
      <c r="F87" s="24">
        <v>2027</v>
      </c>
    </row>
    <row r="88" spans="2:6" x14ac:dyDescent="0.25">
      <c r="B88" s="19" t="s">
        <v>153</v>
      </c>
      <c r="C88" s="20">
        <v>62000</v>
      </c>
      <c r="D88" s="30">
        <v>8</v>
      </c>
      <c r="E88" s="24">
        <v>3</v>
      </c>
      <c r="F88" s="24">
        <v>2028</v>
      </c>
    </row>
    <row r="91" ht="20" customHeight="1" spans="2:5" x14ac:dyDescent="0.25">
      <c r="B91" s="4" t="s">
        <v>154</v>
      </c>
      <c r="C91" s="5"/>
      <c r="D91" s="5"/>
      <c r="E91" s="5"/>
    </row>
    <row r="92" ht="20" customHeight="1" spans="2:5" x14ac:dyDescent="0.25">
      <c r="B92" s="17" t="s">
        <v>144</v>
      </c>
      <c r="C92" s="18" t="s">
        <v>155</v>
      </c>
      <c r="D92" s="18" t="s">
        <v>124</v>
      </c>
      <c r="E92" s="18" t="s">
        <v>102</v>
      </c>
    </row>
    <row r="93" spans="2:5" x14ac:dyDescent="0.25">
      <c r="B93" s="19" t="s">
        <v>156</v>
      </c>
      <c r="C93" s="20">
        <v>28000</v>
      </c>
      <c r="D93" s="24">
        <v>6</v>
      </c>
      <c r="E93" s="24">
        <v>2027</v>
      </c>
    </row>
    <row r="94" spans="2:5" x14ac:dyDescent="0.25">
      <c r="B94" s="19" t="s">
        <v>157</v>
      </c>
      <c r="C94" s="20">
        <v>9500</v>
      </c>
      <c r="D94" s="24">
        <v>10</v>
      </c>
      <c r="E94" s="24">
        <v>2029</v>
      </c>
    </row>
    <row r="95" spans="2:5" x14ac:dyDescent="0.25">
      <c r="B95" s="19" t="s">
        <v>158</v>
      </c>
      <c r="C95" s="20">
        <v>12000</v>
      </c>
      <c r="D95" s="24">
        <v>5</v>
      </c>
      <c r="E95" s="24">
        <v>2028</v>
      </c>
    </row>
    <row r="96" spans="2:5" x14ac:dyDescent="0.25">
      <c r="B96" s="19" t="s">
        <v>159</v>
      </c>
      <c r="C96" s="20">
        <v>11000</v>
      </c>
      <c r="D96" s="24">
        <v>8</v>
      </c>
      <c r="E96" s="24">
        <v>2030</v>
      </c>
    </row>
    <row r="97" spans="2:5" x14ac:dyDescent="0.25">
      <c r="B97" s="19" t="s">
        <v>160</v>
      </c>
      <c r="C97" s="20">
        <v>6500</v>
      </c>
      <c r="D97" s="24">
        <v>11</v>
      </c>
      <c r="E97" s="24">
        <v>2027</v>
      </c>
    </row>
    <row r="98" spans="2:5" x14ac:dyDescent="0.25">
      <c r="B98" s="19" t="s">
        <v>161</v>
      </c>
      <c r="C98" s="20">
        <v>4200</v>
      </c>
      <c r="D98" s="24">
        <v>1</v>
      </c>
      <c r="E98" s="24">
        <v>2029</v>
      </c>
    </row>
    <row r="99" spans="2:5" x14ac:dyDescent="0.25">
      <c r="B99" s="19" t="s">
        <v>162</v>
      </c>
      <c r="C99" s="20">
        <v>8800</v>
      </c>
      <c r="D99" s="24">
        <v>2</v>
      </c>
      <c r="E99" s="24">
        <v>2028</v>
      </c>
    </row>
    <row r="102" ht="20" customHeight="1" spans="2:4" x14ac:dyDescent="0.25">
      <c r="B102" s="4" t="s">
        <v>163</v>
      </c>
      <c r="C102" s="5"/>
      <c r="D102" s="5"/>
    </row>
    <row r="103" ht="20" customHeight="1" spans="2:4" x14ac:dyDescent="0.25">
      <c r="B103" s="17" t="s">
        <v>144</v>
      </c>
      <c r="C103" s="18" t="s">
        <v>137</v>
      </c>
      <c r="D103" s="18" t="s">
        <v>72</v>
      </c>
    </row>
    <row r="104" spans="2:4" x14ac:dyDescent="0.25">
      <c r="B104" s="19" t="s">
        <v>164</v>
      </c>
      <c r="C104" s="20">
        <v>36000</v>
      </c>
      <c r="D104" s="21">
        <v>0.02</v>
      </c>
    </row>
    <row r="105" spans="2:4" x14ac:dyDescent="0.25">
      <c r="B105" s="19" t="s">
        <v>165</v>
      </c>
      <c r="C105" s="20">
        <v>28000</v>
      </c>
      <c r="D105" s="21">
        <v>0.03</v>
      </c>
    </row>
    <row r="106" spans="2:4" x14ac:dyDescent="0.25">
      <c r="B106" s="19" t="s">
        <v>166</v>
      </c>
      <c r="C106" s="20">
        <v>45000</v>
      </c>
      <c r="D106" s="21">
        <v>0.1</v>
      </c>
    </row>
    <row r="107" spans="2:4" x14ac:dyDescent="0.25">
      <c r="B107" s="19" t="s">
        <v>167</v>
      </c>
      <c r="C107" s="20">
        <v>32000</v>
      </c>
      <c r="D107" s="21">
        <v>0.05</v>
      </c>
    </row>
    <row r="108" spans="2:4" x14ac:dyDescent="0.25">
      <c r="B108" s="19" t="s">
        <v>168</v>
      </c>
      <c r="C108" s="20">
        <v>18000</v>
      </c>
      <c r="D108" s="21">
        <v>0.04</v>
      </c>
    </row>
    <row r="109" spans="2:4" x14ac:dyDescent="0.25">
      <c r="B109" s="19" t="s">
        <v>169</v>
      </c>
      <c r="C109" s="20">
        <v>54000</v>
      </c>
      <c r="D109" s="21">
        <v>0.08</v>
      </c>
    </row>
    <row r="110" spans="2:4" x14ac:dyDescent="0.25">
      <c r="B110" s="19" t="s">
        <v>170</v>
      </c>
      <c r="C110" s="20">
        <v>42000</v>
      </c>
      <c r="D110" s="21">
        <v>0.06</v>
      </c>
    </row>
    <row r="111" spans="2:4" x14ac:dyDescent="0.25">
      <c r="B111" s="19" t="s">
        <v>171</v>
      </c>
      <c r="C111" s="20">
        <v>15000</v>
      </c>
      <c r="D111" s="21">
        <v>0</v>
      </c>
    </row>
    <row r="112" spans="2:4" x14ac:dyDescent="0.25">
      <c r="B112" s="19" t="s">
        <v>172</v>
      </c>
      <c r="C112" s="20">
        <v>24000</v>
      </c>
      <c r="D112" s="21">
        <v>0.03</v>
      </c>
    </row>
    <row r="115" ht="20" customHeight="1" spans="2:4" x14ac:dyDescent="0.25">
      <c r="B115" s="4" t="s">
        <v>173</v>
      </c>
      <c r="C115" s="5"/>
      <c r="D115" s="5"/>
    </row>
    <row r="116" ht="20" customHeight="1" spans="2:4" x14ac:dyDescent="0.25">
      <c r="B116" s="17" t="s">
        <v>144</v>
      </c>
      <c r="C116" s="18" t="s">
        <v>137</v>
      </c>
      <c r="D116" s="18" t="s">
        <v>72</v>
      </c>
    </row>
    <row r="117" spans="2:4" x14ac:dyDescent="0.25">
      <c r="B117" s="19" t="s">
        <v>174</v>
      </c>
      <c r="C117" s="22">
        <f>SUM(C123:N123)</f>
      </c>
      <c r="D117" s="21">
        <v>0.05</v>
      </c>
    </row>
    <row r="118" spans="2:4" x14ac:dyDescent="0.25">
      <c r="B118" s="19" t="s">
        <v>175</v>
      </c>
      <c r="C118" s="22">
        <f>SUM(C124:N124)</f>
      </c>
      <c r="D118" s="21">
        <v>0.03</v>
      </c>
    </row>
    <row r="121" ht="20" customHeight="1" spans="2:15" x14ac:dyDescent="0.25">
      <c r="B121" s="4" t="s">
        <v>176</v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ht="20" customHeight="1" spans="2:15" x14ac:dyDescent="0.25">
      <c r="B122" s="17" t="s">
        <v>177</v>
      </c>
      <c r="C122" s="18" t="s">
        <v>86</v>
      </c>
      <c r="D122" s="18" t="s">
        <v>87</v>
      </c>
      <c r="E122" s="18" t="s">
        <v>88</v>
      </c>
      <c r="F122" s="18" t="s">
        <v>89</v>
      </c>
      <c r="G122" s="18" t="s">
        <v>90</v>
      </c>
      <c r="H122" s="18" t="s">
        <v>91</v>
      </c>
      <c r="I122" s="18" t="s">
        <v>92</v>
      </c>
      <c r="J122" s="18" t="s">
        <v>93</v>
      </c>
      <c r="K122" s="18" t="s">
        <v>94</v>
      </c>
      <c r="L122" s="18" t="s">
        <v>95</v>
      </c>
      <c r="M122" s="18" t="s">
        <v>96</v>
      </c>
      <c r="N122" s="18" t="s">
        <v>97</v>
      </c>
      <c r="O122" s="18" t="s">
        <v>98</v>
      </c>
    </row>
    <row r="123" spans="2:15" x14ac:dyDescent="0.25">
      <c r="B123" s="19" t="s">
        <v>174</v>
      </c>
      <c r="C123" s="20">
        <v>3000</v>
      </c>
      <c r="D123" s="20">
        <v>3000</v>
      </c>
      <c r="E123" s="20">
        <v>5000</v>
      </c>
      <c r="F123" s="20">
        <v>8000</v>
      </c>
      <c r="G123" s="20">
        <v>12000</v>
      </c>
      <c r="H123" s="20">
        <v>18000</v>
      </c>
      <c r="I123" s="20">
        <v>22000</v>
      </c>
      <c r="J123" s="20">
        <v>18000</v>
      </c>
      <c r="K123" s="20">
        <v>10000</v>
      </c>
      <c r="L123" s="20">
        <v>5000</v>
      </c>
      <c r="M123" s="20">
        <v>3000</v>
      </c>
      <c r="N123" s="20">
        <v>3000</v>
      </c>
      <c r="O123" s="23">
        <f>SUM(C123:N123)</f>
      </c>
    </row>
    <row r="124" spans="2:15" x14ac:dyDescent="0.25">
      <c r="B124" s="19" t="s">
        <v>175</v>
      </c>
      <c r="C124" s="20">
        <v>2000</v>
      </c>
      <c r="D124" s="20">
        <v>4000</v>
      </c>
      <c r="E124" s="20">
        <v>8000</v>
      </c>
      <c r="F124" s="20">
        <v>12000</v>
      </c>
      <c r="G124" s="20">
        <v>5000</v>
      </c>
      <c r="H124" s="20">
        <v>3000</v>
      </c>
      <c r="I124" s="20">
        <v>2000</v>
      </c>
      <c r="J124" s="20">
        <v>2000</v>
      </c>
      <c r="K124" s="20">
        <v>10000</v>
      </c>
      <c r="L124" s="20">
        <v>15000</v>
      </c>
      <c r="M124" s="20">
        <v>10000</v>
      </c>
      <c r="N124" s="20">
        <v>5000</v>
      </c>
      <c r="O124" s="23">
        <f>SUM(C124:N124)</f>
      </c>
    </row>
    <row r="127" ht="20" customHeight="1" spans="2:5" x14ac:dyDescent="0.25">
      <c r="B127" s="4" t="s">
        <v>178</v>
      </c>
      <c r="C127" s="5"/>
      <c r="D127" s="5"/>
      <c r="E127" s="5"/>
    </row>
    <row r="128" ht="20" customHeight="1" spans="2:5" x14ac:dyDescent="0.25">
      <c r="B128" s="17" t="s">
        <v>100</v>
      </c>
      <c r="C128" s="18" t="s">
        <v>101</v>
      </c>
      <c r="D128" s="18" t="s">
        <v>102</v>
      </c>
      <c r="E128" s="18" t="s">
        <v>103</v>
      </c>
    </row>
    <row r="129" spans="2:5" x14ac:dyDescent="0.25">
      <c r="B129" s="19" t="s">
        <v>179</v>
      </c>
      <c r="C129" s="24">
        <v>3</v>
      </c>
      <c r="D129" s="24">
        <v>2027</v>
      </c>
      <c r="E129" s="20">
        <v>8000</v>
      </c>
    </row>
    <row r="130" spans="2:5" x14ac:dyDescent="0.25">
      <c r="B130" s="19" t="s">
        <v>105</v>
      </c>
      <c r="C130" s="24">
        <v>4</v>
      </c>
      <c r="D130" s="24">
        <v>2027</v>
      </c>
      <c r="E130" s="20">
        <v>12000</v>
      </c>
    </row>
    <row r="131" spans="2:5" x14ac:dyDescent="0.25">
      <c r="B131" s="19" t="s">
        <v>105</v>
      </c>
      <c r="C131" s="24">
        <v>5</v>
      </c>
      <c r="D131" s="24">
        <v>2027</v>
      </c>
      <c r="E131" s="20">
        <v>15000</v>
      </c>
    </row>
    <row r="132" spans="2:5" x14ac:dyDescent="0.25">
      <c r="B132" s="19" t="s">
        <v>105</v>
      </c>
      <c r="C132" s="24">
        <v>6</v>
      </c>
      <c r="D132" s="24">
        <v>2027</v>
      </c>
      <c r="E132" s="20">
        <v>18000</v>
      </c>
    </row>
    <row r="133" spans="2:5" x14ac:dyDescent="0.25">
      <c r="B133" s="19" t="s">
        <v>105</v>
      </c>
      <c r="C133" s="24">
        <v>7</v>
      </c>
      <c r="D133" s="24">
        <v>2027</v>
      </c>
      <c r="E133" s="20">
        <v>12000</v>
      </c>
    </row>
    <row r="134" spans="2:5" x14ac:dyDescent="0.25">
      <c r="B134" s="19" t="s">
        <v>105</v>
      </c>
      <c r="C134" s="24">
        <v>8</v>
      </c>
      <c r="D134" s="24">
        <v>2027</v>
      </c>
      <c r="E134" s="20">
        <v>8000</v>
      </c>
    </row>
    <row r="135" spans="2:5" x14ac:dyDescent="0.25">
      <c r="B135" s="25" t="s">
        <v>105</v>
      </c>
      <c r="C135" s="26">
        <v>9</v>
      </c>
      <c r="D135" s="26">
        <v>2027</v>
      </c>
      <c r="E135" s="27">
        <v>5000</v>
      </c>
    </row>
    <row r="136" spans="2:5" x14ac:dyDescent="0.25">
      <c r="B136" s="19" t="s">
        <v>180</v>
      </c>
      <c r="C136" s="24">
        <v>9</v>
      </c>
      <c r="D136" s="24">
        <v>2026</v>
      </c>
      <c r="E136" s="20">
        <v>5000</v>
      </c>
    </row>
    <row r="137" spans="2:5" x14ac:dyDescent="0.25">
      <c r="B137" s="19" t="s">
        <v>105</v>
      </c>
      <c r="C137" s="24">
        <v>10</v>
      </c>
      <c r="D137" s="24">
        <v>2026</v>
      </c>
      <c r="E137" s="20">
        <v>8000</v>
      </c>
    </row>
    <row r="138" spans="2:5" x14ac:dyDescent="0.25">
      <c r="B138" s="19" t="s">
        <v>105</v>
      </c>
      <c r="C138" s="24">
        <v>11</v>
      </c>
      <c r="D138" s="24">
        <v>2026</v>
      </c>
      <c r="E138" s="20">
        <v>7000</v>
      </c>
    </row>
    <row r="139" spans="2:5" x14ac:dyDescent="0.25">
      <c r="B139" s="19" t="s">
        <v>105</v>
      </c>
      <c r="C139" s="24">
        <v>12</v>
      </c>
      <c r="D139" s="24">
        <v>2026</v>
      </c>
      <c r="E139" s="20">
        <v>4000</v>
      </c>
    </row>
    <row r="142" ht="20" customHeight="1" spans="2:7" x14ac:dyDescent="0.25">
      <c r="B142" s="4" t="s">
        <v>181</v>
      </c>
      <c r="C142" s="5"/>
      <c r="D142" s="5"/>
      <c r="E142" s="5"/>
      <c r="F142" s="5"/>
      <c r="G142" s="5"/>
    </row>
    <row r="143" ht="20" customHeight="1" spans="2:7" x14ac:dyDescent="0.25">
      <c r="B143" s="17" t="s">
        <v>182</v>
      </c>
      <c r="C143" s="18" t="s">
        <v>183</v>
      </c>
      <c r="D143" s="18" t="s">
        <v>184</v>
      </c>
      <c r="E143" s="18" t="s">
        <v>185</v>
      </c>
      <c r="F143" s="18" t="s">
        <v>186</v>
      </c>
      <c r="G143" s="18" t="s">
        <v>187</v>
      </c>
    </row>
    <row r="144" spans="2:7" x14ac:dyDescent="0.25">
      <c r="B144" s="19" t="s">
        <v>188</v>
      </c>
      <c r="C144" s="20">
        <v>180000</v>
      </c>
      <c r="D144" s="21">
        <v>0.038</v>
      </c>
      <c r="E144" s="32">
        <v>4</v>
      </c>
      <c r="F144" s="24" t="s">
        <v>51</v>
      </c>
      <c r="G144" s="33">
        <f>DATE(2026,1+ROUND($E$144*12,0),1)</f>
      </c>
    </row>
    <row r="145" spans="2:7" x14ac:dyDescent="0.25">
      <c r="B145" s="19" t="s">
        <v>189</v>
      </c>
      <c r="C145" s="20">
        <v>120000</v>
      </c>
      <c r="D145" s="21">
        <v>0.042</v>
      </c>
      <c r="E145" s="32">
        <v>3</v>
      </c>
      <c r="F145" s="24" t="s">
        <v>51</v>
      </c>
      <c r="G145" s="33">
        <f>DATE(2026,1+ROUND($E$145*12,0),1)</f>
      </c>
    </row>
    <row r="146" spans="2:7" x14ac:dyDescent="0.25">
      <c r="B146" s="19" t="s">
        <v>190</v>
      </c>
      <c r="C146" s="20">
        <v>250000</v>
      </c>
      <c r="D146" s="21">
        <v>0.045</v>
      </c>
      <c r="E146" s="32">
        <v>5</v>
      </c>
      <c r="F146" s="24" t="s">
        <v>51</v>
      </c>
      <c r="G146" s="33">
        <f>DATE(2026,1+ROUND($E$146*12,0),1)</f>
      </c>
    </row>
    <row r="147" spans="2:7" x14ac:dyDescent="0.25">
      <c r="B147" s="19" t="s">
        <v>191</v>
      </c>
      <c r="C147" s="20">
        <v>85000</v>
      </c>
      <c r="D147" s="21">
        <v>0.051</v>
      </c>
      <c r="E147" s="32">
        <v>3</v>
      </c>
      <c r="F147" s="24" t="s">
        <v>51</v>
      </c>
      <c r="G147" s="33">
        <f>DATE(2026,1+ROUND($E$147*12,0),1)</f>
      </c>
    </row>
    <row r="148" spans="2:7" x14ac:dyDescent="0.25">
      <c r="B148" s="19" t="s">
        <v>192</v>
      </c>
      <c r="C148" s="20">
        <v>150000</v>
      </c>
      <c r="D148" s="21">
        <v>0.06</v>
      </c>
      <c r="E148" s="32">
        <v>6</v>
      </c>
      <c r="F148" s="24" t="s">
        <v>193</v>
      </c>
      <c r="G148" s="33">
        <f>DATE(2026,1+ROUND($E$148*12,0),1)</f>
      </c>
    </row>
    <row r="149" spans="2:7" x14ac:dyDescent="0.25">
      <c r="B149" s="19" t="s">
        <v>194</v>
      </c>
      <c r="C149" s="20">
        <v>95000</v>
      </c>
      <c r="D149" s="21">
        <v>0.0325</v>
      </c>
      <c r="E149" s="32">
        <v>5</v>
      </c>
      <c r="F149" s="24" t="s">
        <v>51</v>
      </c>
      <c r="G149" s="33">
        <f>DATE(2026,1+ROUND($E$149*12,0),1)</f>
      </c>
    </row>
    <row r="150" spans="2:7" x14ac:dyDescent="0.25">
      <c r="B150" s="19" t="s">
        <v>195</v>
      </c>
      <c r="C150" s="20">
        <v>42000</v>
      </c>
      <c r="D150" s="21">
        <v>0.0475</v>
      </c>
      <c r="E150" s="32">
        <v>4</v>
      </c>
      <c r="F150" s="24" t="s">
        <v>51</v>
      </c>
      <c r="G150" s="33">
        <f>DATE(2026,1+ROUND($E$150*12,0),1)</f>
      </c>
    </row>
    <row r="153" ht="20" customHeight="1" spans="2:9" x14ac:dyDescent="0.25">
      <c r="B153" s="4" t="s">
        <v>196</v>
      </c>
      <c r="C153" s="5"/>
      <c r="D153" s="5"/>
      <c r="E153" s="5"/>
      <c r="F153" s="5"/>
      <c r="G153" s="5"/>
      <c r="H153" s="5"/>
      <c r="I153" s="5"/>
    </row>
    <row r="154" ht="20" customHeight="1" spans="2:9" x14ac:dyDescent="0.25">
      <c r="B154" s="17" t="s">
        <v>182</v>
      </c>
      <c r="C154" s="18" t="s">
        <v>183</v>
      </c>
      <c r="D154" s="18" t="s">
        <v>184</v>
      </c>
      <c r="E154" s="18" t="s">
        <v>197</v>
      </c>
      <c r="F154" s="18" t="s">
        <v>198</v>
      </c>
      <c r="G154" s="18" t="s">
        <v>186</v>
      </c>
      <c r="H154" s="18" t="s">
        <v>132</v>
      </c>
      <c r="I154" s="18" t="s">
        <v>102</v>
      </c>
    </row>
    <row r="155" spans="2:9" x14ac:dyDescent="0.25">
      <c r="B155" s="19" t="s">
        <v>199</v>
      </c>
      <c r="C155" s="20">
        <v>1250000</v>
      </c>
      <c r="D155" s="21">
        <v>0.048499999999999995</v>
      </c>
      <c r="E155" s="32">
        <v>7</v>
      </c>
      <c r="F155" s="24">
        <v>1</v>
      </c>
      <c r="G155" s="24" t="s">
        <v>51</v>
      </c>
      <c r="H155" s="24">
        <v>1</v>
      </c>
      <c r="I155" s="24">
        <v>2026</v>
      </c>
    </row>
    <row r="156" spans="2:9" x14ac:dyDescent="0.25">
      <c r="B156" s="19" t="s">
        <v>200</v>
      </c>
      <c r="C156" s="20">
        <v>400000</v>
      </c>
      <c r="D156" s="21">
        <v>0.032</v>
      </c>
      <c r="E156" s="32">
        <v>5</v>
      </c>
      <c r="F156" s="24">
        <v>1</v>
      </c>
      <c r="G156" s="24" t="s">
        <v>51</v>
      </c>
      <c r="H156" s="24">
        <v>3</v>
      </c>
      <c r="I156" s="24">
        <v>2026</v>
      </c>
    </row>
    <row r="157" spans="2:9" x14ac:dyDescent="0.25">
      <c r="B157" s="19" t="s">
        <v>201</v>
      </c>
      <c r="C157" s="20">
        <v>300000</v>
      </c>
      <c r="D157" s="21">
        <v>0.0495</v>
      </c>
      <c r="E157" s="32">
        <v>3</v>
      </c>
      <c r="F157" s="24">
        <v>0</v>
      </c>
      <c r="G157" s="24" t="s">
        <v>193</v>
      </c>
      <c r="H157" s="24">
        <v>5</v>
      </c>
      <c r="I157" s="24">
        <v>2026</v>
      </c>
    </row>
    <row r="158" spans="2:9" x14ac:dyDescent="0.25">
      <c r="B158" s="19" t="s">
        <v>202</v>
      </c>
      <c r="C158" s="20">
        <v>250000</v>
      </c>
      <c r="D158" s="21">
        <v>0.042</v>
      </c>
      <c r="E158" s="32">
        <v>6</v>
      </c>
      <c r="F158" s="24">
        <v>0</v>
      </c>
      <c r="G158" s="24" t="s">
        <v>203</v>
      </c>
      <c r="H158" s="24">
        <v>1</v>
      </c>
      <c r="I158" s="24">
        <v>2027</v>
      </c>
    </row>
    <row r="159" spans="2:9" x14ac:dyDescent="0.25">
      <c r="B159" s="19" t="s">
        <v>204</v>
      </c>
      <c r="C159" s="20">
        <v>200000</v>
      </c>
      <c r="D159" s="21">
        <v>0.044000000000000004</v>
      </c>
      <c r="E159" s="32">
        <v>4</v>
      </c>
      <c r="F159" s="24">
        <v>0</v>
      </c>
      <c r="G159" s="24" t="s">
        <v>51</v>
      </c>
      <c r="H159" s="24">
        <v>3</v>
      </c>
      <c r="I159" s="24">
        <v>2028</v>
      </c>
    </row>
    <row r="162" ht="20" customHeight="1" spans="2:3" x14ac:dyDescent="0.25">
      <c r="B162" s="4" t="s">
        <v>205</v>
      </c>
      <c r="C162" s="5"/>
    </row>
    <row r="163" spans="2:3" x14ac:dyDescent="0.25">
      <c r="B163" s="19" t="s">
        <v>206</v>
      </c>
      <c r="C163" s="34">
        <v>0.3</v>
      </c>
    </row>
    <row r="164" spans="2:3" x14ac:dyDescent="0.25">
      <c r="B164" s="19" t="s">
        <v>207</v>
      </c>
      <c r="C164" s="35">
        <v>45</v>
      </c>
    </row>
    <row r="165" spans="2:3" x14ac:dyDescent="0.25">
      <c r="B165" s="19" t="s">
        <v>208</v>
      </c>
      <c r="C165" s="35">
        <v>20</v>
      </c>
    </row>
    <row r="166" spans="2:3" x14ac:dyDescent="0.25">
      <c r="B166" s="19" t="s">
        <v>209</v>
      </c>
      <c r="C166" s="35">
        <v>35</v>
      </c>
    </row>
    <row r="167" spans="2:3" x14ac:dyDescent="0.25">
      <c r="B167" s="19" t="s">
        <v>210</v>
      </c>
      <c r="C167" s="34">
        <v>0.0075</v>
      </c>
    </row>
    <row r="169" spans="2:2" x14ac:dyDescent="0.25">
      <c r="B169" s="36" t="s">
        <v>211</v>
      </c>
    </row>
    <row r="170" spans="2:3" x14ac:dyDescent="0.25">
      <c r="B170" s="19" t="s">
        <v>212</v>
      </c>
      <c r="C170" s="21">
        <v>0</v>
      </c>
    </row>
    <row r="171" spans="2:3" x14ac:dyDescent="0.25">
      <c r="B171" s="19" t="s">
        <v>73</v>
      </c>
      <c r="C171" s="21">
        <v>0.22</v>
      </c>
    </row>
    <row r="172" spans="2:3" x14ac:dyDescent="0.25">
      <c r="B172" s="19" t="s">
        <v>74</v>
      </c>
      <c r="C172" s="21">
        <v>0.22</v>
      </c>
    </row>
    <row r="173" spans="2:3" x14ac:dyDescent="0.25">
      <c r="B173" s="19" t="s">
        <v>75</v>
      </c>
      <c r="C173" s="21">
        <v>0.22</v>
      </c>
    </row>
    <row r="174" spans="2:3" x14ac:dyDescent="0.25">
      <c r="B174" s="19" t="s">
        <v>76</v>
      </c>
      <c r="C174" s="21">
        <v>0.22</v>
      </c>
    </row>
    <row r="175" spans="2:3" x14ac:dyDescent="0.25">
      <c r="B175" s="19" t="s">
        <v>77</v>
      </c>
      <c r="C175" s="21">
        <v>0.22</v>
      </c>
    </row>
    <row r="176" spans="2:3" x14ac:dyDescent="0.25">
      <c r="B176" s="19" t="s">
        <v>78</v>
      </c>
      <c r="C176" s="21">
        <v>0.22</v>
      </c>
    </row>
    <row r="177" spans="2:3" x14ac:dyDescent="0.25">
      <c r="B177" s="19" t="s">
        <v>79</v>
      </c>
      <c r="C177" s="21">
        <v>0.22</v>
      </c>
    </row>
    <row r="178" spans="2:3" x14ac:dyDescent="0.25">
      <c r="B178" s="19" t="s">
        <v>104</v>
      </c>
      <c r="C178" s="21">
        <v>0.22</v>
      </c>
    </row>
    <row r="179" spans="2:3" x14ac:dyDescent="0.25">
      <c r="B179" s="19" t="s">
        <v>106</v>
      </c>
      <c r="C179" s="21">
        <v>0.22</v>
      </c>
    </row>
    <row r="180" spans="2:3" x14ac:dyDescent="0.25">
      <c r="B180" s="19" t="s">
        <v>81</v>
      </c>
      <c r="C180" s="21">
        <v>0.22</v>
      </c>
    </row>
    <row r="181" spans="2:3" x14ac:dyDescent="0.25">
      <c r="B181" s="19" t="s">
        <v>82</v>
      </c>
      <c r="C181" s="21">
        <v>0.22</v>
      </c>
    </row>
    <row r="182" spans="2:3" x14ac:dyDescent="0.25">
      <c r="B182" s="19" t="s">
        <v>83</v>
      </c>
      <c r="C182" s="21">
        <v>0.22</v>
      </c>
    </row>
    <row r="185" ht="20" customHeight="1" spans="2:3" x14ac:dyDescent="0.25">
      <c r="B185" s="4" t="s">
        <v>213</v>
      </c>
      <c r="C185" s="5"/>
    </row>
    <row r="186" spans="2:3" x14ac:dyDescent="0.25">
      <c r="B186" s="19" t="s">
        <v>214</v>
      </c>
      <c r="C186" s="37">
        <v>0.18</v>
      </c>
    </row>
    <row r="187" spans="2:3" x14ac:dyDescent="0.25">
      <c r="B187" s="19" t="s">
        <v>215</v>
      </c>
      <c r="C187" s="37">
        <v>-0.1</v>
      </c>
    </row>
    <row r="188" spans="2:3" x14ac:dyDescent="0.25">
      <c r="B188" s="19" t="s">
        <v>216</v>
      </c>
      <c r="C188" s="37">
        <v>-0.25</v>
      </c>
    </row>
    <row r="189" spans="2:3" x14ac:dyDescent="0.25">
      <c r="B189" s="19" t="s">
        <v>217</v>
      </c>
      <c r="C189" s="37">
        <v>0.15</v>
      </c>
    </row>
    <row r="192" ht="20" customHeight="1" hidden="1" spans="2:42" x14ac:dyDescent="0.25" outlineLevel="1" collapsed="1">
      <c r="B192" s="4" t="s">
        <v>218</v>
      </c>
      <c r="C192" s="38" t="s">
        <v>219</v>
      </c>
      <c r="D192" s="18" t="s">
        <v>220</v>
      </c>
      <c r="E192" s="18" t="s">
        <v>221</v>
      </c>
      <c r="F192" s="18" t="s">
        <v>222</v>
      </c>
      <c r="G192" s="18" t="s">
        <v>223</v>
      </c>
      <c r="H192" s="18" t="s">
        <v>224</v>
      </c>
      <c r="I192" s="18" t="s">
        <v>225</v>
      </c>
      <c r="J192" s="18" t="s">
        <v>226</v>
      </c>
      <c r="K192" s="18" t="s">
        <v>227</v>
      </c>
      <c r="L192" s="18" t="s">
        <v>228</v>
      </c>
      <c r="M192" s="18" t="s">
        <v>229</v>
      </c>
      <c r="N192" s="18" t="s">
        <v>230</v>
      </c>
      <c r="O192" s="18" t="s">
        <v>231</v>
      </c>
      <c r="P192" s="39" t="s">
        <v>232</v>
      </c>
      <c r="Q192" s="18" t="s">
        <v>233</v>
      </c>
      <c r="R192" s="18" t="s">
        <v>234</v>
      </c>
      <c r="S192" s="18" t="s">
        <v>235</v>
      </c>
      <c r="T192" s="18" t="s">
        <v>236</v>
      </c>
      <c r="U192" s="18" t="s">
        <v>237</v>
      </c>
      <c r="V192" s="18" t="s">
        <v>238</v>
      </c>
      <c r="W192" s="18" t="s">
        <v>239</v>
      </c>
      <c r="X192" s="18" t="s">
        <v>240</v>
      </c>
      <c r="Y192" s="18" t="s">
        <v>241</v>
      </c>
      <c r="Z192" s="18" t="s">
        <v>242</v>
      </c>
      <c r="AA192" s="18" t="s">
        <v>243</v>
      </c>
      <c r="AB192" s="18" t="s">
        <v>244</v>
      </c>
      <c r="AC192" s="39" t="s">
        <v>245</v>
      </c>
      <c r="AD192" s="18" t="s">
        <v>246</v>
      </c>
      <c r="AE192" s="18" t="s">
        <v>247</v>
      </c>
      <c r="AF192" s="18" t="s">
        <v>248</v>
      </c>
      <c r="AG192" s="18" t="s">
        <v>249</v>
      </c>
      <c r="AH192" s="18" t="s">
        <v>250</v>
      </c>
      <c r="AI192" s="18" t="s">
        <v>251</v>
      </c>
      <c r="AJ192" s="18" t="s">
        <v>252</v>
      </c>
      <c r="AK192" s="18" t="s">
        <v>253</v>
      </c>
      <c r="AL192" s="18" t="s">
        <v>254</v>
      </c>
      <c r="AM192" s="18" t="s">
        <v>255</v>
      </c>
      <c r="AN192" s="18" t="s">
        <v>256</v>
      </c>
      <c r="AO192" s="18" t="s">
        <v>257</v>
      </c>
      <c r="AP192" s="39" t="s">
        <v>258</v>
      </c>
    </row>
    <row r="193" hidden="1" spans="2:42" x14ac:dyDescent="0.25" outlineLevel="1" collapsed="1">
      <c r="B193" s="19" t="s">
        <v>73</v>
      </c>
      <c r="C193" s="40">
        <f>$E$5</f>
      </c>
      <c r="D193" s="41">
        <f>ROUND($C$5*$D$5/12,0)</f>
      </c>
      <c r="E193" s="41">
        <f>ROUND($C$5*$D$5/12,0)</f>
      </c>
      <c r="F193" s="41">
        <f>ROUND($C$5*$D$5/12,0)</f>
      </c>
      <c r="G193" s="41">
        <f>ROUND($C$5*$D$5/12,0)</f>
      </c>
      <c r="H193" s="41">
        <f>ROUND($C$5*$D$5/12,0)</f>
      </c>
      <c r="I193" s="41">
        <f>ROUND($C$5*$D$5/12,0)</f>
      </c>
      <c r="J193" s="41">
        <f>ROUND($C$5*$D$5/12,0)</f>
      </c>
      <c r="K193" s="41">
        <f>ROUND($C$5*$D$5/12,0)</f>
      </c>
      <c r="L193" s="41">
        <f>ROUND($C$5*$D$5/12,0)</f>
      </c>
      <c r="M193" s="41">
        <f>ROUND($C$5*$D$5/12,0)</f>
      </c>
      <c r="N193" s="41">
        <f>ROUND($C$5*$D$5/12,0)</f>
      </c>
      <c r="O193" s="41">
        <f>ROUND($C$5*$D$5/12,0)</f>
      </c>
      <c r="P193" s="42">
        <f>SUM(D193:O193)</f>
      </c>
      <c r="Q193" s="41">
        <f>ROUND(D193*(1+$C$193)^1,0)</f>
      </c>
      <c r="R193" s="41">
        <f>ROUND(E193*(1+$C$193)^1,0)</f>
      </c>
      <c r="S193" s="41">
        <f>ROUND(F193*(1+$C$193)^1,0)</f>
      </c>
      <c r="T193" s="41">
        <f>ROUND(G193*(1+$C$193)^1,0)</f>
      </c>
      <c r="U193" s="41">
        <f>ROUND(H193*(1+$C$193)^1,0)</f>
      </c>
      <c r="V193" s="41">
        <f>ROUND(I193*(1+$C$193)^1,0)</f>
      </c>
      <c r="W193" s="41">
        <f>ROUND(J193*(1+$C$193)^1,0)</f>
      </c>
      <c r="X193" s="41">
        <f>ROUND(K193*(1+$C$193)^1,0)</f>
      </c>
      <c r="Y193" s="41">
        <f>ROUND(L193*(1+$C$193)^1,0)</f>
      </c>
      <c r="Z193" s="41">
        <f>ROUND(M193*(1+$C$193)^1,0)</f>
      </c>
      <c r="AA193" s="41">
        <f>ROUND(N193*(1+$C$193)^1,0)</f>
      </c>
      <c r="AB193" s="41">
        <f>ROUND(O193*(1+$C$193)^1,0)</f>
      </c>
      <c r="AC193" s="42">
        <f>SUM(Q193:AB193)</f>
      </c>
      <c r="AD193" s="41">
        <f>ROUND(D193*(1+$C$193)^2,0)</f>
      </c>
      <c r="AE193" s="41">
        <f>ROUND(E193*(1+$C$193)^2,0)</f>
      </c>
      <c r="AF193" s="41">
        <f>ROUND(F193*(1+$C$193)^2,0)</f>
      </c>
      <c r="AG193" s="41">
        <f>ROUND(G193*(1+$C$193)^2,0)</f>
      </c>
      <c r="AH193" s="41">
        <f>ROUND(H193*(1+$C$193)^2,0)</f>
      </c>
      <c r="AI193" s="41">
        <f>ROUND(I193*(1+$C$193)^2,0)</f>
      </c>
      <c r="AJ193" s="41">
        <f>ROUND(J193*(1+$C$193)^2,0)</f>
      </c>
      <c r="AK193" s="41">
        <f>ROUND(K193*(1+$C$193)^2,0)</f>
      </c>
      <c r="AL193" s="41">
        <f>ROUND(L193*(1+$C$193)^2,0)</f>
      </c>
      <c r="AM193" s="41">
        <f>ROUND(M193*(1+$C$193)^2,0)</f>
      </c>
      <c r="AN193" s="41">
        <f>ROUND(N193*(1+$C$193)^2,0)</f>
      </c>
      <c r="AO193" s="41">
        <f>ROUND(O193*(1+$C$193)^2,0)</f>
      </c>
      <c r="AP193" s="42">
        <f>SUM(AD193:AO193)</f>
      </c>
    </row>
    <row r="194" hidden="1" spans="2:42" x14ac:dyDescent="0.25" outlineLevel="1" collapsed="1">
      <c r="B194" s="19" t="s">
        <v>74</v>
      </c>
      <c r="C194" s="40">
        <f>$E$6</f>
      </c>
      <c r="D194" s="41">
        <f>ROUND($C$6*$D$6/12,0)</f>
      </c>
      <c r="E194" s="41">
        <f>ROUND($C$6*$D$6/12,0)</f>
      </c>
      <c r="F194" s="41">
        <f>ROUND($C$6*$D$6/12,0)</f>
      </c>
      <c r="G194" s="41">
        <f>ROUND($C$6*$D$6/12,0)</f>
      </c>
      <c r="H194" s="41">
        <f>ROUND($C$6*$D$6/12,0)</f>
      </c>
      <c r="I194" s="41">
        <f>ROUND($C$6*$D$6/12,0)</f>
      </c>
      <c r="J194" s="41">
        <f>ROUND($C$6*$D$6/12,0)</f>
      </c>
      <c r="K194" s="41">
        <f>ROUND($C$6*$D$6/12,0)</f>
      </c>
      <c r="L194" s="41">
        <f>ROUND($C$6*$D$6/12,0)</f>
      </c>
      <c r="M194" s="41">
        <f>ROUND($C$6*$D$6/12,0)</f>
      </c>
      <c r="N194" s="41">
        <f>ROUND($C$6*$D$6/12,0)</f>
      </c>
      <c r="O194" s="41">
        <f>ROUND($C$6*$D$6/12,0)</f>
      </c>
      <c r="P194" s="42">
        <f>SUM(D194:O194)</f>
      </c>
      <c r="Q194" s="41">
        <f>ROUND(D194*(1+$C$194)^1,0)</f>
      </c>
      <c r="R194" s="41">
        <f>ROUND(E194*(1+$C$194)^1,0)</f>
      </c>
      <c r="S194" s="41">
        <f>ROUND(F194*(1+$C$194)^1,0)</f>
      </c>
      <c r="T194" s="41">
        <f>ROUND(G194*(1+$C$194)^1,0)</f>
      </c>
      <c r="U194" s="41">
        <f>ROUND(H194*(1+$C$194)^1,0)</f>
      </c>
      <c r="V194" s="41">
        <f>ROUND(I194*(1+$C$194)^1,0)</f>
      </c>
      <c r="W194" s="41">
        <f>ROUND(J194*(1+$C$194)^1,0)</f>
      </c>
      <c r="X194" s="41">
        <f>ROUND(K194*(1+$C$194)^1,0)</f>
      </c>
      <c r="Y194" s="41">
        <f>ROUND(L194*(1+$C$194)^1,0)</f>
      </c>
      <c r="Z194" s="41">
        <f>ROUND(M194*(1+$C$194)^1,0)</f>
      </c>
      <c r="AA194" s="41">
        <f>ROUND(N194*(1+$C$194)^1,0)</f>
      </c>
      <c r="AB194" s="41">
        <f>ROUND(O194*(1+$C$194)^1,0)</f>
      </c>
      <c r="AC194" s="42">
        <f>SUM(Q194:AB194)</f>
      </c>
      <c r="AD194" s="41">
        <f>ROUND(D194*(1+$C$194)^2,0)</f>
      </c>
      <c r="AE194" s="41">
        <f>ROUND(E194*(1+$C$194)^2,0)</f>
      </c>
      <c r="AF194" s="41">
        <f>ROUND(F194*(1+$C$194)^2,0)</f>
      </c>
      <c r="AG194" s="41">
        <f>ROUND(G194*(1+$C$194)^2,0)</f>
      </c>
      <c r="AH194" s="41">
        <f>ROUND(H194*(1+$C$194)^2,0)</f>
      </c>
      <c r="AI194" s="41">
        <f>ROUND(I194*(1+$C$194)^2,0)</f>
      </c>
      <c r="AJ194" s="41">
        <f>ROUND(J194*(1+$C$194)^2,0)</f>
      </c>
      <c r="AK194" s="41">
        <f>ROUND(K194*(1+$C$194)^2,0)</f>
      </c>
      <c r="AL194" s="41">
        <f>ROUND(L194*(1+$C$194)^2,0)</f>
      </c>
      <c r="AM194" s="41">
        <f>ROUND(M194*(1+$C$194)^2,0)</f>
      </c>
      <c r="AN194" s="41">
        <f>ROUND(N194*(1+$C$194)^2,0)</f>
      </c>
      <c r="AO194" s="41">
        <f>ROUND(O194*(1+$C$194)^2,0)</f>
      </c>
      <c r="AP194" s="42">
        <f>SUM(AD194:AO194)</f>
      </c>
    </row>
    <row r="195" hidden="1" spans="2:42" x14ac:dyDescent="0.25" outlineLevel="1" collapsed="1">
      <c r="B195" s="19" t="s">
        <v>75</v>
      </c>
      <c r="C195" s="40">
        <f>$E$7</f>
      </c>
      <c r="D195" s="41">
        <f>ROUND($C$7*$D$7/12,0)</f>
      </c>
      <c r="E195" s="41">
        <f>ROUND($C$7*$D$7/12,0)</f>
      </c>
      <c r="F195" s="41">
        <f>ROUND($C$7*$D$7/12,0)</f>
      </c>
      <c r="G195" s="41">
        <f>ROUND($C$7*$D$7/12,0)</f>
      </c>
      <c r="H195" s="41">
        <f>ROUND($C$7*$D$7/12,0)</f>
      </c>
      <c r="I195" s="41">
        <f>ROUND($C$7*$D$7/12,0)</f>
      </c>
      <c r="J195" s="41">
        <f>ROUND($C$7*$D$7/12,0)</f>
      </c>
      <c r="K195" s="41">
        <f>ROUND($C$7*$D$7/12,0)</f>
      </c>
      <c r="L195" s="41">
        <f>ROUND($C$7*$D$7/12,0)</f>
      </c>
      <c r="M195" s="41">
        <f>ROUND($C$7*$D$7/12,0)</f>
      </c>
      <c r="N195" s="41">
        <f>ROUND($C$7*$D$7/12,0)</f>
      </c>
      <c r="O195" s="41">
        <f>ROUND($C$7*$D$7/12,0)</f>
      </c>
      <c r="P195" s="42">
        <f>SUM(D195:O195)</f>
      </c>
      <c r="Q195" s="41">
        <f>ROUND(D195*(1+$C$195)^1,0)</f>
      </c>
      <c r="R195" s="41">
        <f>ROUND(E195*(1+$C$195)^1,0)</f>
      </c>
      <c r="S195" s="41">
        <f>ROUND(F195*(1+$C$195)^1,0)</f>
      </c>
      <c r="T195" s="41">
        <f>ROUND(G195*(1+$C$195)^1,0)</f>
      </c>
      <c r="U195" s="41">
        <f>ROUND(H195*(1+$C$195)^1,0)</f>
      </c>
      <c r="V195" s="41">
        <f>ROUND(I195*(1+$C$195)^1,0)</f>
      </c>
      <c r="W195" s="41">
        <f>ROUND(J195*(1+$C$195)^1,0)</f>
      </c>
      <c r="X195" s="41">
        <f>ROUND(K195*(1+$C$195)^1,0)</f>
      </c>
      <c r="Y195" s="41">
        <f>ROUND(L195*(1+$C$195)^1,0)</f>
      </c>
      <c r="Z195" s="41">
        <f>ROUND(M195*(1+$C$195)^1,0)</f>
      </c>
      <c r="AA195" s="41">
        <f>ROUND(N195*(1+$C$195)^1,0)</f>
      </c>
      <c r="AB195" s="41">
        <f>ROUND(O195*(1+$C$195)^1,0)</f>
      </c>
      <c r="AC195" s="42">
        <f>SUM(Q195:AB195)</f>
      </c>
      <c r="AD195" s="41">
        <f>ROUND(D195*(1+$C$195)^2,0)</f>
      </c>
      <c r="AE195" s="41">
        <f>ROUND(E195*(1+$C$195)^2,0)</f>
      </c>
      <c r="AF195" s="41">
        <f>ROUND(F195*(1+$C$195)^2,0)</f>
      </c>
      <c r="AG195" s="41">
        <f>ROUND(G195*(1+$C$195)^2,0)</f>
      </c>
      <c r="AH195" s="41">
        <f>ROUND(H195*(1+$C$195)^2,0)</f>
      </c>
      <c r="AI195" s="41">
        <f>ROUND(I195*(1+$C$195)^2,0)</f>
      </c>
      <c r="AJ195" s="41">
        <f>ROUND(J195*(1+$C$195)^2,0)</f>
      </c>
      <c r="AK195" s="41">
        <f>ROUND(K195*(1+$C$195)^2,0)</f>
      </c>
      <c r="AL195" s="41">
        <f>ROUND(L195*(1+$C$195)^2,0)</f>
      </c>
      <c r="AM195" s="41">
        <f>ROUND(M195*(1+$C$195)^2,0)</f>
      </c>
      <c r="AN195" s="41">
        <f>ROUND(N195*(1+$C$195)^2,0)</f>
      </c>
      <c r="AO195" s="41">
        <f>ROUND(O195*(1+$C$195)^2,0)</f>
      </c>
      <c r="AP195" s="42">
        <f>SUM(AD195:AO195)</f>
      </c>
    </row>
    <row r="196" hidden="1" spans="2:42" x14ac:dyDescent="0.25" outlineLevel="1" collapsed="1">
      <c r="B196" s="19" t="s">
        <v>76</v>
      </c>
      <c r="C196" s="40">
        <f>$E$8</f>
      </c>
      <c r="D196" s="41">
        <f>ROUND($C$8*$D$8/12,0)</f>
      </c>
      <c r="E196" s="41">
        <f>ROUND($C$8*$D$8/12,0)</f>
      </c>
      <c r="F196" s="41">
        <f>ROUND($C$8*$D$8/12,0)</f>
      </c>
      <c r="G196" s="41">
        <f>ROUND($C$8*$D$8/12,0)</f>
      </c>
      <c r="H196" s="41">
        <f>ROUND($C$8*$D$8/12,0)</f>
      </c>
      <c r="I196" s="41">
        <f>ROUND($C$8*$D$8/12,0)</f>
      </c>
      <c r="J196" s="41">
        <f>ROUND($C$8*$D$8/12,0)</f>
      </c>
      <c r="K196" s="41">
        <f>ROUND($C$8*$D$8/12,0)</f>
      </c>
      <c r="L196" s="41">
        <f>ROUND($C$8*$D$8/12,0)</f>
      </c>
      <c r="M196" s="41">
        <f>ROUND($C$8*$D$8/12,0)</f>
      </c>
      <c r="N196" s="41">
        <f>ROUND($C$8*$D$8/12,0)</f>
      </c>
      <c r="O196" s="41">
        <f>ROUND($C$8*$D$8/12,0)</f>
      </c>
      <c r="P196" s="42">
        <f>SUM(D196:O196)</f>
      </c>
      <c r="Q196" s="41">
        <f>ROUND(D196*(1+$C$196)^1,0)</f>
      </c>
      <c r="R196" s="41">
        <f>ROUND(E196*(1+$C$196)^1,0)</f>
      </c>
      <c r="S196" s="41">
        <f>ROUND(F196*(1+$C$196)^1,0)</f>
      </c>
      <c r="T196" s="41">
        <f>ROUND(G196*(1+$C$196)^1,0)</f>
      </c>
      <c r="U196" s="41">
        <f>ROUND(H196*(1+$C$196)^1,0)</f>
      </c>
      <c r="V196" s="41">
        <f>ROUND(I196*(1+$C$196)^1,0)</f>
      </c>
      <c r="W196" s="41">
        <f>ROUND(J196*(1+$C$196)^1,0)</f>
      </c>
      <c r="X196" s="41">
        <f>ROUND(K196*(1+$C$196)^1,0)</f>
      </c>
      <c r="Y196" s="41">
        <f>ROUND(L196*(1+$C$196)^1,0)</f>
      </c>
      <c r="Z196" s="41">
        <f>ROUND(M196*(1+$C$196)^1,0)</f>
      </c>
      <c r="AA196" s="41">
        <f>ROUND(N196*(1+$C$196)^1,0)</f>
      </c>
      <c r="AB196" s="41">
        <f>ROUND(O196*(1+$C$196)^1,0)</f>
      </c>
      <c r="AC196" s="42">
        <f>SUM(Q196:AB196)</f>
      </c>
      <c r="AD196" s="41">
        <f>ROUND(D196*(1+$C$196)^2,0)</f>
      </c>
      <c r="AE196" s="41">
        <f>ROUND(E196*(1+$C$196)^2,0)</f>
      </c>
      <c r="AF196" s="41">
        <f>ROUND(F196*(1+$C$196)^2,0)</f>
      </c>
      <c r="AG196" s="41">
        <f>ROUND(G196*(1+$C$196)^2,0)</f>
      </c>
      <c r="AH196" s="41">
        <f>ROUND(H196*(1+$C$196)^2,0)</f>
      </c>
      <c r="AI196" s="41">
        <f>ROUND(I196*(1+$C$196)^2,0)</f>
      </c>
      <c r="AJ196" s="41">
        <f>ROUND(J196*(1+$C$196)^2,0)</f>
      </c>
      <c r="AK196" s="41">
        <f>ROUND(K196*(1+$C$196)^2,0)</f>
      </c>
      <c r="AL196" s="41">
        <f>ROUND(L196*(1+$C$196)^2,0)</f>
      </c>
      <c r="AM196" s="41">
        <f>ROUND(M196*(1+$C$196)^2,0)</f>
      </c>
      <c r="AN196" s="41">
        <f>ROUND(N196*(1+$C$196)^2,0)</f>
      </c>
      <c r="AO196" s="41">
        <f>ROUND(O196*(1+$C$196)^2,0)</f>
      </c>
      <c r="AP196" s="42">
        <f>SUM(AD196:AO196)</f>
      </c>
    </row>
    <row r="197" hidden="1" spans="2:42" x14ac:dyDescent="0.25" outlineLevel="1" collapsed="1">
      <c r="B197" s="19" t="s">
        <v>77</v>
      </c>
      <c r="C197" s="40">
        <f>$E$9</f>
      </c>
      <c r="D197" s="41">
        <f>ROUND($C$9*$D$9/12,0)</f>
      </c>
      <c r="E197" s="41">
        <f>ROUND($C$9*$D$9/12,0)</f>
      </c>
      <c r="F197" s="41">
        <f>ROUND($C$9*$D$9/12,0)</f>
      </c>
      <c r="G197" s="41">
        <f>ROUND($C$9*$D$9/12,0)</f>
      </c>
      <c r="H197" s="41">
        <f>ROUND($C$9*$D$9/12,0)</f>
      </c>
      <c r="I197" s="41">
        <f>ROUND($C$9*$D$9/12,0)</f>
      </c>
      <c r="J197" s="41">
        <f>ROUND($C$9*$D$9/12,0)</f>
      </c>
      <c r="K197" s="41">
        <f>ROUND($C$9*$D$9/12,0)</f>
      </c>
      <c r="L197" s="41">
        <f>ROUND($C$9*$D$9/12,0)</f>
      </c>
      <c r="M197" s="41">
        <f>ROUND($C$9*$D$9/12,0)</f>
      </c>
      <c r="N197" s="41">
        <f>ROUND($C$9*$D$9/12,0)</f>
      </c>
      <c r="O197" s="41">
        <f>ROUND($C$9*$D$9/12,0)</f>
      </c>
      <c r="P197" s="42">
        <f>SUM(D197:O197)</f>
      </c>
      <c r="Q197" s="41">
        <f>ROUND(D197*(1+$C$197)^1,0)</f>
      </c>
      <c r="R197" s="41">
        <f>ROUND(E197*(1+$C$197)^1,0)</f>
      </c>
      <c r="S197" s="41">
        <f>ROUND(F197*(1+$C$197)^1,0)</f>
      </c>
      <c r="T197" s="41">
        <f>ROUND(G197*(1+$C$197)^1,0)</f>
      </c>
      <c r="U197" s="41">
        <f>ROUND(H197*(1+$C$197)^1,0)</f>
      </c>
      <c r="V197" s="41">
        <f>ROUND(I197*(1+$C$197)^1,0)</f>
      </c>
      <c r="W197" s="41">
        <f>ROUND(J197*(1+$C$197)^1,0)</f>
      </c>
      <c r="X197" s="41">
        <f>ROUND(K197*(1+$C$197)^1,0)</f>
      </c>
      <c r="Y197" s="41">
        <f>ROUND(L197*(1+$C$197)^1,0)</f>
      </c>
      <c r="Z197" s="41">
        <f>ROUND(M197*(1+$C$197)^1,0)</f>
      </c>
      <c r="AA197" s="41">
        <f>ROUND(N197*(1+$C$197)^1,0)</f>
      </c>
      <c r="AB197" s="41">
        <f>ROUND(O197*(1+$C$197)^1,0)</f>
      </c>
      <c r="AC197" s="42">
        <f>SUM(Q197:AB197)</f>
      </c>
      <c r="AD197" s="41">
        <f>ROUND(D197*(1+$C$197)^2,0)</f>
      </c>
      <c r="AE197" s="41">
        <f>ROUND(E197*(1+$C$197)^2,0)</f>
      </c>
      <c r="AF197" s="41">
        <f>ROUND(F197*(1+$C$197)^2,0)</f>
      </c>
      <c r="AG197" s="41">
        <f>ROUND(G197*(1+$C$197)^2,0)</f>
      </c>
      <c r="AH197" s="41">
        <f>ROUND(H197*(1+$C$197)^2,0)</f>
      </c>
      <c r="AI197" s="41">
        <f>ROUND(I197*(1+$C$197)^2,0)</f>
      </c>
      <c r="AJ197" s="41">
        <f>ROUND(J197*(1+$C$197)^2,0)</f>
      </c>
      <c r="AK197" s="41">
        <f>ROUND(K197*(1+$C$197)^2,0)</f>
      </c>
      <c r="AL197" s="41">
        <f>ROUND(L197*(1+$C$197)^2,0)</f>
      </c>
      <c r="AM197" s="41">
        <f>ROUND(M197*(1+$C$197)^2,0)</f>
      </c>
      <c r="AN197" s="41">
        <f>ROUND(N197*(1+$C$197)^2,0)</f>
      </c>
      <c r="AO197" s="41">
        <f>ROUND(O197*(1+$C$197)^2,0)</f>
      </c>
      <c r="AP197" s="42">
        <f>SUM(AD197:AO197)</f>
      </c>
    </row>
    <row r="198" hidden="1" spans="2:42" x14ac:dyDescent="0.25" outlineLevel="1" collapsed="1">
      <c r="B198" s="19" t="s">
        <v>78</v>
      </c>
      <c r="C198" s="40">
        <f>$E$10</f>
      </c>
      <c r="D198" s="41">
        <f>ROUND($C$10*$D$10/12,0)</f>
      </c>
      <c r="E198" s="41">
        <f>ROUND($C$10*$D$10/12,0)</f>
      </c>
      <c r="F198" s="41">
        <f>ROUND($C$10*$D$10/12,0)</f>
      </c>
      <c r="G198" s="41">
        <f>ROUND($C$10*$D$10/12,0)</f>
      </c>
      <c r="H198" s="41">
        <f>ROUND($C$10*$D$10/12,0)</f>
      </c>
      <c r="I198" s="41">
        <f>ROUND($C$10*$D$10/12,0)</f>
      </c>
      <c r="J198" s="41">
        <f>ROUND($C$10*$D$10/12,0)</f>
      </c>
      <c r="K198" s="41">
        <f>ROUND($C$10*$D$10/12,0)</f>
      </c>
      <c r="L198" s="41">
        <f>ROUND($C$10*$D$10/12,0)</f>
      </c>
      <c r="M198" s="41">
        <f>ROUND($C$10*$D$10/12,0)</f>
      </c>
      <c r="N198" s="41">
        <f>ROUND($C$10*$D$10/12,0)</f>
      </c>
      <c r="O198" s="41">
        <f>ROUND($C$10*$D$10/12,0)</f>
      </c>
      <c r="P198" s="42">
        <f>SUM(D198:O198)</f>
      </c>
      <c r="Q198" s="41">
        <f>ROUND(D198*(1+$C$198)^1,0)</f>
      </c>
      <c r="R198" s="41">
        <f>ROUND(E198*(1+$C$198)^1,0)</f>
      </c>
      <c r="S198" s="41">
        <f>ROUND(F198*(1+$C$198)^1,0)</f>
      </c>
      <c r="T198" s="41">
        <f>ROUND(G198*(1+$C$198)^1,0)</f>
      </c>
      <c r="U198" s="41">
        <f>ROUND(H198*(1+$C$198)^1,0)</f>
      </c>
      <c r="V198" s="41">
        <f>ROUND(I198*(1+$C$198)^1,0)</f>
      </c>
      <c r="W198" s="41">
        <f>ROUND(J198*(1+$C$198)^1,0)</f>
      </c>
      <c r="X198" s="41">
        <f>ROUND(K198*(1+$C$198)^1,0)</f>
      </c>
      <c r="Y198" s="41">
        <f>ROUND(L198*(1+$C$198)^1,0)</f>
      </c>
      <c r="Z198" s="41">
        <f>ROUND(M198*(1+$C$198)^1,0)</f>
      </c>
      <c r="AA198" s="41">
        <f>ROUND(N198*(1+$C$198)^1,0)</f>
      </c>
      <c r="AB198" s="41">
        <f>ROUND(O198*(1+$C$198)^1,0)</f>
      </c>
      <c r="AC198" s="42">
        <f>SUM(Q198:AB198)</f>
      </c>
      <c r="AD198" s="41">
        <f>ROUND(D198*(1+$C$198)^2,0)</f>
      </c>
      <c r="AE198" s="41">
        <f>ROUND(E198*(1+$C$198)^2,0)</f>
      </c>
      <c r="AF198" s="41">
        <f>ROUND(F198*(1+$C$198)^2,0)</f>
      </c>
      <c r="AG198" s="41">
        <f>ROUND(G198*(1+$C$198)^2,0)</f>
      </c>
      <c r="AH198" s="41">
        <f>ROUND(H198*(1+$C$198)^2,0)</f>
      </c>
      <c r="AI198" s="41">
        <f>ROUND(I198*(1+$C$198)^2,0)</f>
      </c>
      <c r="AJ198" s="41">
        <f>ROUND(J198*(1+$C$198)^2,0)</f>
      </c>
      <c r="AK198" s="41">
        <f>ROUND(K198*(1+$C$198)^2,0)</f>
      </c>
      <c r="AL198" s="41">
        <f>ROUND(L198*(1+$C$198)^2,0)</f>
      </c>
      <c r="AM198" s="41">
        <f>ROUND(M198*(1+$C$198)^2,0)</f>
      </c>
      <c r="AN198" s="41">
        <f>ROUND(N198*(1+$C$198)^2,0)</f>
      </c>
      <c r="AO198" s="41">
        <f>ROUND(O198*(1+$C$198)^2,0)</f>
      </c>
      <c r="AP198" s="42">
        <f>SUM(AD198:AO198)</f>
      </c>
    </row>
    <row r="199" hidden="1" spans="2:42" x14ac:dyDescent="0.25" outlineLevel="1" collapsed="1">
      <c r="B199" s="19" t="s">
        <v>79</v>
      </c>
      <c r="C199" s="40">
        <f>$E$11</f>
      </c>
      <c r="D199" s="41">
        <f>ROUND($C$11*$D$11/12,0)</f>
      </c>
      <c r="E199" s="41">
        <f>ROUND($C$11*$D$11/12,0)</f>
      </c>
      <c r="F199" s="41">
        <f>ROUND($C$11*$D$11/12,0)</f>
      </c>
      <c r="G199" s="41">
        <f>ROUND($C$11*$D$11/12,0)</f>
      </c>
      <c r="H199" s="41">
        <f>ROUND($C$11*$D$11/12,0)</f>
      </c>
      <c r="I199" s="41">
        <f>ROUND($C$11*$D$11/12,0)</f>
      </c>
      <c r="J199" s="41">
        <f>ROUND($C$11*$D$11/12,0)</f>
      </c>
      <c r="K199" s="41">
        <f>ROUND($C$11*$D$11/12,0)</f>
      </c>
      <c r="L199" s="41">
        <f>ROUND($C$11*$D$11/12,0)</f>
      </c>
      <c r="M199" s="41">
        <f>ROUND($C$11*$D$11/12,0)</f>
      </c>
      <c r="N199" s="41">
        <f>ROUND($C$11*$D$11/12,0)</f>
      </c>
      <c r="O199" s="41">
        <f>ROUND($C$11*$D$11/12,0)</f>
      </c>
      <c r="P199" s="42">
        <f>SUM(D199:O199)</f>
      </c>
      <c r="Q199" s="41">
        <f>ROUND(D199*(1+$C$199)^1,0)</f>
      </c>
      <c r="R199" s="41">
        <f>ROUND(E199*(1+$C$199)^1,0)</f>
      </c>
      <c r="S199" s="41">
        <f>ROUND(F199*(1+$C$199)^1,0)</f>
      </c>
      <c r="T199" s="41">
        <f>ROUND(G199*(1+$C$199)^1,0)</f>
      </c>
      <c r="U199" s="41">
        <f>ROUND(H199*(1+$C$199)^1,0)</f>
      </c>
      <c r="V199" s="41">
        <f>ROUND(I199*(1+$C$199)^1,0)</f>
      </c>
      <c r="W199" s="41">
        <f>ROUND(J199*(1+$C$199)^1,0)</f>
      </c>
      <c r="X199" s="41">
        <f>ROUND(K199*(1+$C$199)^1,0)</f>
      </c>
      <c r="Y199" s="41">
        <f>ROUND(L199*(1+$C$199)^1,0)</f>
      </c>
      <c r="Z199" s="41">
        <f>ROUND(M199*(1+$C$199)^1,0)</f>
      </c>
      <c r="AA199" s="41">
        <f>ROUND(N199*(1+$C$199)^1,0)</f>
      </c>
      <c r="AB199" s="41">
        <f>ROUND(O199*(1+$C$199)^1,0)</f>
      </c>
      <c r="AC199" s="42">
        <f>SUM(Q199:AB199)</f>
      </c>
      <c r="AD199" s="41">
        <f>ROUND(D199*(1+$C$199)^2,0)</f>
      </c>
      <c r="AE199" s="41">
        <f>ROUND(E199*(1+$C$199)^2,0)</f>
      </c>
      <c r="AF199" s="41">
        <f>ROUND(F199*(1+$C$199)^2,0)</f>
      </c>
      <c r="AG199" s="41">
        <f>ROUND(G199*(1+$C$199)^2,0)</f>
      </c>
      <c r="AH199" s="41">
        <f>ROUND(H199*(1+$C$199)^2,0)</f>
      </c>
      <c r="AI199" s="41">
        <f>ROUND(I199*(1+$C$199)^2,0)</f>
      </c>
      <c r="AJ199" s="41">
        <f>ROUND(J199*(1+$C$199)^2,0)</f>
      </c>
      <c r="AK199" s="41">
        <f>ROUND(K199*(1+$C$199)^2,0)</f>
      </c>
      <c r="AL199" s="41">
        <f>ROUND(L199*(1+$C$199)^2,0)</f>
      </c>
      <c r="AM199" s="41">
        <f>ROUND(M199*(1+$C$199)^2,0)</f>
      </c>
      <c r="AN199" s="41">
        <f>ROUND(N199*(1+$C$199)^2,0)</f>
      </c>
      <c r="AO199" s="41">
        <f>ROUND(O199*(1+$C$199)^2,0)</f>
      </c>
      <c r="AP199" s="42">
        <f>SUM(AD199:AO199)</f>
      </c>
    </row>
    <row r="200" hidden="1" spans="2:42" x14ac:dyDescent="0.25" outlineLevel="1" collapsed="1">
      <c r="B200" s="19" t="s">
        <v>104</v>
      </c>
      <c r="C200" s="43" t="s">
        <v>259</v>
      </c>
      <c r="D200" s="41">
        <f>IF(DATE(2026,1,1)=DATE($D$30,$C$30,1),$E$30,0)+IF(DATE(2026,1,1)=DATE($D$31,$C$31,1),$E$31,0)+IF(DATE(2026,1,1)=DATE($D$32,$C$32,1),$E$32,0)+IF(DATE(2026,1,1)=DATE($D$33,$C$33,1),$E$33,0)+IF(DATE(2026,1,1)=DATE($D$34,$C$34,1),$E$34,0)+IF(DATE(2026,1,1)=DATE($D$35,$C$35,1),$E$35,0)</f>
      </c>
      <c r="E200" s="41">
        <f>IF(DATE(2026,2,1)=DATE($D$30,$C$30,1),$E$30,0)+IF(DATE(2026,2,1)=DATE($D$31,$C$31,1),$E$31,0)+IF(DATE(2026,2,1)=DATE($D$32,$C$32,1),$E$32,0)+IF(DATE(2026,2,1)=DATE($D$33,$C$33,1),$E$33,0)+IF(DATE(2026,2,1)=DATE($D$34,$C$34,1),$E$34,0)+IF(DATE(2026,2,1)=DATE($D$35,$C$35,1),$E$35,0)</f>
      </c>
      <c r="F200" s="41">
        <f>IF(DATE(2026,3,1)=DATE($D$30,$C$30,1),$E$30,0)+IF(DATE(2026,3,1)=DATE($D$31,$C$31,1),$E$31,0)+IF(DATE(2026,3,1)=DATE($D$32,$C$32,1),$E$32,0)+IF(DATE(2026,3,1)=DATE($D$33,$C$33,1),$E$33,0)+IF(DATE(2026,3,1)=DATE($D$34,$C$34,1),$E$34,0)+IF(DATE(2026,3,1)=DATE($D$35,$C$35,1),$E$35,0)</f>
      </c>
      <c r="G200" s="41">
        <f>IF(DATE(2026,4,1)=DATE($D$30,$C$30,1),$E$30,0)+IF(DATE(2026,4,1)=DATE($D$31,$C$31,1),$E$31,0)+IF(DATE(2026,4,1)=DATE($D$32,$C$32,1),$E$32,0)+IF(DATE(2026,4,1)=DATE($D$33,$C$33,1),$E$33,0)+IF(DATE(2026,4,1)=DATE($D$34,$C$34,1),$E$34,0)+IF(DATE(2026,4,1)=DATE($D$35,$C$35,1),$E$35,0)</f>
      </c>
      <c r="H200" s="41">
        <f>IF(DATE(2026,5,1)=DATE($D$30,$C$30,1),$E$30,0)+IF(DATE(2026,5,1)=DATE($D$31,$C$31,1),$E$31,0)+IF(DATE(2026,5,1)=DATE($D$32,$C$32,1),$E$32,0)+IF(DATE(2026,5,1)=DATE($D$33,$C$33,1),$E$33,0)+IF(DATE(2026,5,1)=DATE($D$34,$C$34,1),$E$34,0)+IF(DATE(2026,5,1)=DATE($D$35,$C$35,1),$E$35,0)</f>
      </c>
      <c r="I200" s="41">
        <f>IF(DATE(2026,6,1)=DATE($D$30,$C$30,1),$E$30,0)+IF(DATE(2026,6,1)=DATE($D$31,$C$31,1),$E$31,0)+IF(DATE(2026,6,1)=DATE($D$32,$C$32,1),$E$32,0)+IF(DATE(2026,6,1)=DATE($D$33,$C$33,1),$E$33,0)+IF(DATE(2026,6,1)=DATE($D$34,$C$34,1),$E$34,0)+IF(DATE(2026,6,1)=DATE($D$35,$C$35,1),$E$35,0)</f>
      </c>
      <c r="J200" s="41">
        <f>IF(DATE(2026,7,1)=DATE($D$30,$C$30,1),$E$30,0)+IF(DATE(2026,7,1)=DATE($D$31,$C$31,1),$E$31,0)+IF(DATE(2026,7,1)=DATE($D$32,$C$32,1),$E$32,0)+IF(DATE(2026,7,1)=DATE($D$33,$C$33,1),$E$33,0)+IF(DATE(2026,7,1)=DATE($D$34,$C$34,1),$E$34,0)+IF(DATE(2026,7,1)=DATE($D$35,$C$35,1),$E$35,0)</f>
      </c>
      <c r="K200" s="41">
        <f>IF(DATE(2026,8,1)=DATE($D$30,$C$30,1),$E$30,0)+IF(DATE(2026,8,1)=DATE($D$31,$C$31,1),$E$31,0)+IF(DATE(2026,8,1)=DATE($D$32,$C$32,1),$E$32,0)+IF(DATE(2026,8,1)=DATE($D$33,$C$33,1),$E$33,0)+IF(DATE(2026,8,1)=DATE($D$34,$C$34,1),$E$34,0)+IF(DATE(2026,8,1)=DATE($D$35,$C$35,1),$E$35,0)</f>
      </c>
      <c r="L200" s="41">
        <f>IF(DATE(2026,9,1)=DATE($D$30,$C$30,1),$E$30,0)+IF(DATE(2026,9,1)=DATE($D$31,$C$31,1),$E$31,0)+IF(DATE(2026,9,1)=DATE($D$32,$C$32,1),$E$32,0)+IF(DATE(2026,9,1)=DATE($D$33,$C$33,1),$E$33,0)+IF(DATE(2026,9,1)=DATE($D$34,$C$34,1),$E$34,0)+IF(DATE(2026,9,1)=DATE($D$35,$C$35,1),$E$35,0)</f>
      </c>
      <c r="M200" s="41">
        <f>IF(DATE(2026,10,1)=DATE($D$30,$C$30,1),$E$30,0)+IF(DATE(2026,10,1)=DATE($D$31,$C$31,1),$E$31,0)+IF(DATE(2026,10,1)=DATE($D$32,$C$32,1),$E$32,0)+IF(DATE(2026,10,1)=DATE($D$33,$C$33,1),$E$33,0)+IF(DATE(2026,10,1)=DATE($D$34,$C$34,1),$E$34,0)+IF(DATE(2026,10,1)=DATE($D$35,$C$35,1),$E$35,0)</f>
      </c>
      <c r="N200" s="41">
        <f>IF(DATE(2026,11,1)=DATE($D$30,$C$30,1),$E$30,0)+IF(DATE(2026,11,1)=DATE($D$31,$C$31,1),$E$31,0)+IF(DATE(2026,11,1)=DATE($D$32,$C$32,1),$E$32,0)+IF(DATE(2026,11,1)=DATE($D$33,$C$33,1),$E$33,0)+IF(DATE(2026,11,1)=DATE($D$34,$C$34,1),$E$34,0)+IF(DATE(2026,11,1)=DATE($D$35,$C$35,1),$E$35,0)</f>
      </c>
      <c r="O200" s="41">
        <f>IF(DATE(2026,12,1)=DATE($D$30,$C$30,1),$E$30,0)+IF(DATE(2026,12,1)=DATE($D$31,$C$31,1),$E$31,0)+IF(DATE(2026,12,1)=DATE($D$32,$C$32,1),$E$32,0)+IF(DATE(2026,12,1)=DATE($D$33,$C$33,1),$E$33,0)+IF(DATE(2026,12,1)=DATE($D$34,$C$34,1),$E$34,0)+IF(DATE(2026,12,1)=DATE($D$35,$C$35,1),$E$35,0)</f>
      </c>
      <c r="P200" s="42">
        <f>SUM(D200:O200)</f>
      </c>
      <c r="Q200" s="41">
        <f>IF(DATE(2027,1,1)=DATE($D$30,$C$30,1),$E$30,0)+IF(DATE(2027,1,1)=DATE($D$31,$C$31,1),$E$31,0)+IF(DATE(2027,1,1)=DATE($D$32,$C$32,1),$E$32,0)+IF(DATE(2027,1,1)=DATE($D$33,$C$33,1),$E$33,0)+IF(DATE(2027,1,1)=DATE($D$34,$C$34,1),$E$34,0)+IF(DATE(2027,1,1)=DATE($D$35,$C$35,1),$E$35,0)</f>
      </c>
      <c r="R200" s="41">
        <f>IF(DATE(2027,2,1)=DATE($D$30,$C$30,1),$E$30,0)+IF(DATE(2027,2,1)=DATE($D$31,$C$31,1),$E$31,0)+IF(DATE(2027,2,1)=DATE($D$32,$C$32,1),$E$32,0)+IF(DATE(2027,2,1)=DATE($D$33,$C$33,1),$E$33,0)+IF(DATE(2027,2,1)=DATE($D$34,$C$34,1),$E$34,0)+IF(DATE(2027,2,1)=DATE($D$35,$C$35,1),$E$35,0)</f>
      </c>
      <c r="S200" s="41">
        <f>IF(DATE(2027,3,1)=DATE($D$30,$C$30,1),$E$30,0)+IF(DATE(2027,3,1)=DATE($D$31,$C$31,1),$E$31,0)+IF(DATE(2027,3,1)=DATE($D$32,$C$32,1),$E$32,0)+IF(DATE(2027,3,1)=DATE($D$33,$C$33,1),$E$33,0)+IF(DATE(2027,3,1)=DATE($D$34,$C$34,1),$E$34,0)+IF(DATE(2027,3,1)=DATE($D$35,$C$35,1),$E$35,0)</f>
      </c>
      <c r="T200" s="41">
        <f>IF(DATE(2027,4,1)=DATE($D$30,$C$30,1),$E$30,0)+IF(DATE(2027,4,1)=DATE($D$31,$C$31,1),$E$31,0)+IF(DATE(2027,4,1)=DATE($D$32,$C$32,1),$E$32,0)+IF(DATE(2027,4,1)=DATE($D$33,$C$33,1),$E$33,0)+IF(DATE(2027,4,1)=DATE($D$34,$C$34,1),$E$34,0)+IF(DATE(2027,4,1)=DATE($D$35,$C$35,1),$E$35,0)</f>
      </c>
      <c r="U200" s="41">
        <f>IF(DATE(2027,5,1)=DATE($D$30,$C$30,1),$E$30,0)+IF(DATE(2027,5,1)=DATE($D$31,$C$31,1),$E$31,0)+IF(DATE(2027,5,1)=DATE($D$32,$C$32,1),$E$32,0)+IF(DATE(2027,5,1)=DATE($D$33,$C$33,1),$E$33,0)+IF(DATE(2027,5,1)=DATE($D$34,$C$34,1),$E$34,0)+IF(DATE(2027,5,1)=DATE($D$35,$C$35,1),$E$35,0)</f>
      </c>
      <c r="V200" s="41">
        <f>IF(DATE(2027,6,1)=DATE($D$30,$C$30,1),$E$30,0)+IF(DATE(2027,6,1)=DATE($D$31,$C$31,1),$E$31,0)+IF(DATE(2027,6,1)=DATE($D$32,$C$32,1),$E$32,0)+IF(DATE(2027,6,1)=DATE($D$33,$C$33,1),$E$33,0)+IF(DATE(2027,6,1)=DATE($D$34,$C$34,1),$E$34,0)+IF(DATE(2027,6,1)=DATE($D$35,$C$35,1),$E$35,0)</f>
      </c>
      <c r="W200" s="41">
        <f>IF(DATE(2027,7,1)=DATE($D$30,$C$30,1),$E$30,0)+IF(DATE(2027,7,1)=DATE($D$31,$C$31,1),$E$31,0)+IF(DATE(2027,7,1)=DATE($D$32,$C$32,1),$E$32,0)+IF(DATE(2027,7,1)=DATE($D$33,$C$33,1),$E$33,0)+IF(DATE(2027,7,1)=DATE($D$34,$C$34,1),$E$34,0)+IF(DATE(2027,7,1)=DATE($D$35,$C$35,1),$E$35,0)</f>
      </c>
      <c r="X200" s="41">
        <f>IF(DATE(2027,8,1)=DATE($D$30,$C$30,1),$E$30,0)+IF(DATE(2027,8,1)=DATE($D$31,$C$31,1),$E$31,0)+IF(DATE(2027,8,1)=DATE($D$32,$C$32,1),$E$32,0)+IF(DATE(2027,8,1)=DATE($D$33,$C$33,1),$E$33,0)+IF(DATE(2027,8,1)=DATE($D$34,$C$34,1),$E$34,0)+IF(DATE(2027,8,1)=DATE($D$35,$C$35,1),$E$35,0)</f>
      </c>
      <c r="Y200" s="41">
        <f>IF(DATE(2027,9,1)=DATE($D$30,$C$30,1),$E$30,0)+IF(DATE(2027,9,1)=DATE($D$31,$C$31,1),$E$31,0)+IF(DATE(2027,9,1)=DATE($D$32,$C$32,1),$E$32,0)+IF(DATE(2027,9,1)=DATE($D$33,$C$33,1),$E$33,0)+IF(DATE(2027,9,1)=DATE($D$34,$C$34,1),$E$34,0)+IF(DATE(2027,9,1)=DATE($D$35,$C$35,1),$E$35,0)</f>
      </c>
      <c r="Z200" s="41">
        <f>IF(DATE(2027,10,1)=DATE($D$30,$C$30,1),$E$30,0)+IF(DATE(2027,10,1)=DATE($D$31,$C$31,1),$E$31,0)+IF(DATE(2027,10,1)=DATE($D$32,$C$32,1),$E$32,0)+IF(DATE(2027,10,1)=DATE($D$33,$C$33,1),$E$33,0)+IF(DATE(2027,10,1)=DATE($D$34,$C$34,1),$E$34,0)+IF(DATE(2027,10,1)=DATE($D$35,$C$35,1),$E$35,0)</f>
      </c>
      <c r="AA200" s="41">
        <f>IF(DATE(2027,11,1)=DATE($D$30,$C$30,1),$E$30,0)+IF(DATE(2027,11,1)=DATE($D$31,$C$31,1),$E$31,0)+IF(DATE(2027,11,1)=DATE($D$32,$C$32,1),$E$32,0)+IF(DATE(2027,11,1)=DATE($D$33,$C$33,1),$E$33,0)+IF(DATE(2027,11,1)=DATE($D$34,$C$34,1),$E$34,0)+IF(DATE(2027,11,1)=DATE($D$35,$C$35,1),$E$35,0)</f>
      </c>
      <c r="AB200" s="41">
        <f>IF(DATE(2027,12,1)=DATE($D$30,$C$30,1),$E$30,0)+IF(DATE(2027,12,1)=DATE($D$31,$C$31,1),$E$31,0)+IF(DATE(2027,12,1)=DATE($D$32,$C$32,1),$E$32,0)+IF(DATE(2027,12,1)=DATE($D$33,$C$33,1),$E$33,0)+IF(DATE(2027,12,1)=DATE($D$34,$C$34,1),$E$34,0)+IF(DATE(2027,12,1)=DATE($D$35,$C$35,1),$E$35,0)</f>
      </c>
      <c r="AC200" s="42">
        <f>SUM(Q200:AB200)</f>
      </c>
      <c r="AD200" s="41">
        <f>IF(DATE(2028,1,1)=DATE($D$30,$C$30,1),$E$30,0)+IF(DATE(2028,1,1)=DATE($D$31,$C$31,1),$E$31,0)+IF(DATE(2028,1,1)=DATE($D$32,$C$32,1),$E$32,0)+IF(DATE(2028,1,1)=DATE($D$33,$C$33,1),$E$33,0)+IF(DATE(2028,1,1)=DATE($D$34,$C$34,1),$E$34,0)+IF(DATE(2028,1,1)=DATE($D$35,$C$35,1),$E$35,0)</f>
      </c>
      <c r="AE200" s="41">
        <f>IF(DATE(2028,2,1)=DATE($D$30,$C$30,1),$E$30,0)+IF(DATE(2028,2,1)=DATE($D$31,$C$31,1),$E$31,0)+IF(DATE(2028,2,1)=DATE($D$32,$C$32,1),$E$32,0)+IF(DATE(2028,2,1)=DATE($D$33,$C$33,1),$E$33,0)+IF(DATE(2028,2,1)=DATE($D$34,$C$34,1),$E$34,0)+IF(DATE(2028,2,1)=DATE($D$35,$C$35,1),$E$35,0)</f>
      </c>
      <c r="AF200" s="41">
        <f>IF(DATE(2028,3,1)=DATE($D$30,$C$30,1),$E$30,0)+IF(DATE(2028,3,1)=DATE($D$31,$C$31,1),$E$31,0)+IF(DATE(2028,3,1)=DATE($D$32,$C$32,1),$E$32,0)+IF(DATE(2028,3,1)=DATE($D$33,$C$33,1),$E$33,0)+IF(DATE(2028,3,1)=DATE($D$34,$C$34,1),$E$34,0)+IF(DATE(2028,3,1)=DATE($D$35,$C$35,1),$E$35,0)</f>
      </c>
      <c r="AG200" s="41">
        <f>IF(DATE(2028,4,1)=DATE($D$30,$C$30,1),$E$30,0)+IF(DATE(2028,4,1)=DATE($D$31,$C$31,1),$E$31,0)+IF(DATE(2028,4,1)=DATE($D$32,$C$32,1),$E$32,0)+IF(DATE(2028,4,1)=DATE($D$33,$C$33,1),$E$33,0)+IF(DATE(2028,4,1)=DATE($D$34,$C$34,1),$E$34,0)+IF(DATE(2028,4,1)=DATE($D$35,$C$35,1),$E$35,0)</f>
      </c>
      <c r="AH200" s="41">
        <f>IF(DATE(2028,5,1)=DATE($D$30,$C$30,1),$E$30,0)+IF(DATE(2028,5,1)=DATE($D$31,$C$31,1),$E$31,0)+IF(DATE(2028,5,1)=DATE($D$32,$C$32,1),$E$32,0)+IF(DATE(2028,5,1)=DATE($D$33,$C$33,1),$E$33,0)+IF(DATE(2028,5,1)=DATE($D$34,$C$34,1),$E$34,0)+IF(DATE(2028,5,1)=DATE($D$35,$C$35,1),$E$35,0)</f>
      </c>
      <c r="AI200" s="41">
        <f>IF(DATE(2028,6,1)=DATE($D$30,$C$30,1),$E$30,0)+IF(DATE(2028,6,1)=DATE($D$31,$C$31,1),$E$31,0)+IF(DATE(2028,6,1)=DATE($D$32,$C$32,1),$E$32,0)+IF(DATE(2028,6,1)=DATE($D$33,$C$33,1),$E$33,0)+IF(DATE(2028,6,1)=DATE($D$34,$C$34,1),$E$34,0)+IF(DATE(2028,6,1)=DATE($D$35,$C$35,1),$E$35,0)</f>
      </c>
      <c r="AJ200" s="41">
        <f>IF(DATE(2028,7,1)=DATE($D$30,$C$30,1),$E$30,0)+IF(DATE(2028,7,1)=DATE($D$31,$C$31,1),$E$31,0)+IF(DATE(2028,7,1)=DATE($D$32,$C$32,1),$E$32,0)+IF(DATE(2028,7,1)=DATE($D$33,$C$33,1),$E$33,0)+IF(DATE(2028,7,1)=DATE($D$34,$C$34,1),$E$34,0)+IF(DATE(2028,7,1)=DATE($D$35,$C$35,1),$E$35,0)</f>
      </c>
      <c r="AK200" s="41">
        <f>IF(DATE(2028,8,1)=DATE($D$30,$C$30,1),$E$30,0)+IF(DATE(2028,8,1)=DATE($D$31,$C$31,1),$E$31,0)+IF(DATE(2028,8,1)=DATE($D$32,$C$32,1),$E$32,0)+IF(DATE(2028,8,1)=DATE($D$33,$C$33,1),$E$33,0)+IF(DATE(2028,8,1)=DATE($D$34,$C$34,1),$E$34,0)+IF(DATE(2028,8,1)=DATE($D$35,$C$35,1),$E$35,0)</f>
      </c>
      <c r="AL200" s="41">
        <f>IF(DATE(2028,9,1)=DATE($D$30,$C$30,1),$E$30,0)+IF(DATE(2028,9,1)=DATE($D$31,$C$31,1),$E$31,0)+IF(DATE(2028,9,1)=DATE($D$32,$C$32,1),$E$32,0)+IF(DATE(2028,9,1)=DATE($D$33,$C$33,1),$E$33,0)+IF(DATE(2028,9,1)=DATE($D$34,$C$34,1),$E$34,0)+IF(DATE(2028,9,1)=DATE($D$35,$C$35,1),$E$35,0)</f>
      </c>
      <c r="AM200" s="41">
        <f>IF(DATE(2028,10,1)=DATE($D$30,$C$30,1),$E$30,0)+IF(DATE(2028,10,1)=DATE($D$31,$C$31,1),$E$31,0)+IF(DATE(2028,10,1)=DATE($D$32,$C$32,1),$E$32,0)+IF(DATE(2028,10,1)=DATE($D$33,$C$33,1),$E$33,0)+IF(DATE(2028,10,1)=DATE($D$34,$C$34,1),$E$34,0)+IF(DATE(2028,10,1)=DATE($D$35,$C$35,1),$E$35,0)</f>
      </c>
      <c r="AN200" s="41">
        <f>IF(DATE(2028,11,1)=DATE($D$30,$C$30,1),$E$30,0)+IF(DATE(2028,11,1)=DATE($D$31,$C$31,1),$E$31,0)+IF(DATE(2028,11,1)=DATE($D$32,$C$32,1),$E$32,0)+IF(DATE(2028,11,1)=DATE($D$33,$C$33,1),$E$33,0)+IF(DATE(2028,11,1)=DATE($D$34,$C$34,1),$E$34,0)+IF(DATE(2028,11,1)=DATE($D$35,$C$35,1),$E$35,0)</f>
      </c>
      <c r="AO200" s="41">
        <f>IF(DATE(2028,12,1)=DATE($D$30,$C$30,1),$E$30,0)+IF(DATE(2028,12,1)=DATE($D$31,$C$31,1),$E$31,0)+IF(DATE(2028,12,1)=DATE($D$32,$C$32,1),$E$32,0)+IF(DATE(2028,12,1)=DATE($D$33,$C$33,1),$E$33,0)+IF(DATE(2028,12,1)=DATE($D$34,$C$34,1),$E$34,0)+IF(DATE(2028,12,1)=DATE($D$35,$C$35,1),$E$35,0)</f>
      </c>
      <c r="AP200" s="42">
        <f>SUM(AD200:AO200)</f>
      </c>
    </row>
    <row r="201" hidden="1" spans="2:42" x14ac:dyDescent="0.25" outlineLevel="1" collapsed="1">
      <c r="B201" s="19" t="s">
        <v>106</v>
      </c>
      <c r="C201" s="43" t="s">
        <v>259</v>
      </c>
      <c r="D201" s="41">
        <f>IF(DATE(2026,1,1)=DATE($D$36,$C$36,1),$E$36,0)</f>
      </c>
      <c r="E201" s="41">
        <f>IF(DATE(2026,2,1)=DATE($D$36,$C$36,1),$E$36,0)</f>
      </c>
      <c r="F201" s="41">
        <f>IF(DATE(2026,3,1)=DATE($D$36,$C$36,1),$E$36,0)</f>
      </c>
      <c r="G201" s="41">
        <f>IF(DATE(2026,4,1)=DATE($D$36,$C$36,1),$E$36,0)</f>
      </c>
      <c r="H201" s="41">
        <f>IF(DATE(2026,5,1)=DATE($D$36,$C$36,1),$E$36,0)</f>
      </c>
      <c r="I201" s="41">
        <f>IF(DATE(2026,6,1)=DATE($D$36,$C$36,1),$E$36,0)</f>
      </c>
      <c r="J201" s="41">
        <f>IF(DATE(2026,7,1)=DATE($D$36,$C$36,1),$E$36,0)</f>
      </c>
      <c r="K201" s="41">
        <f>IF(DATE(2026,8,1)=DATE($D$36,$C$36,1),$E$36,0)</f>
      </c>
      <c r="L201" s="41">
        <f>IF(DATE(2026,9,1)=DATE($D$36,$C$36,1),$E$36,0)</f>
      </c>
      <c r="M201" s="41">
        <f>IF(DATE(2026,10,1)=DATE($D$36,$C$36,1),$E$36,0)</f>
      </c>
      <c r="N201" s="41">
        <f>IF(DATE(2026,11,1)=DATE($D$36,$C$36,1),$E$36,0)</f>
      </c>
      <c r="O201" s="41">
        <f>IF(DATE(2026,12,1)=DATE($D$36,$C$36,1),$E$36,0)</f>
      </c>
      <c r="P201" s="42">
        <f>SUM(D201:O201)</f>
      </c>
      <c r="Q201" s="41">
        <f>IF(DATE(2027,1,1)=DATE($D$36,$C$36,1),$E$36,0)</f>
      </c>
      <c r="R201" s="41">
        <f>IF(DATE(2027,2,1)=DATE($D$36,$C$36,1),$E$36,0)</f>
      </c>
      <c r="S201" s="41">
        <f>IF(DATE(2027,3,1)=DATE($D$36,$C$36,1),$E$36,0)</f>
      </c>
      <c r="T201" s="41">
        <f>IF(DATE(2027,4,1)=DATE($D$36,$C$36,1),$E$36,0)</f>
      </c>
      <c r="U201" s="41">
        <f>IF(DATE(2027,5,1)=DATE($D$36,$C$36,1),$E$36,0)</f>
      </c>
      <c r="V201" s="41">
        <f>IF(DATE(2027,6,1)=DATE($D$36,$C$36,1),$E$36,0)</f>
      </c>
      <c r="W201" s="41">
        <f>IF(DATE(2027,7,1)=DATE($D$36,$C$36,1),$E$36,0)</f>
      </c>
      <c r="X201" s="41">
        <f>IF(DATE(2027,8,1)=DATE($D$36,$C$36,1),$E$36,0)</f>
      </c>
      <c r="Y201" s="41">
        <f>IF(DATE(2027,9,1)=DATE($D$36,$C$36,1),$E$36,0)</f>
      </c>
      <c r="Z201" s="41">
        <f>IF(DATE(2027,10,1)=DATE($D$36,$C$36,1),$E$36,0)</f>
      </c>
      <c r="AA201" s="41">
        <f>IF(DATE(2027,11,1)=DATE($D$36,$C$36,1),$E$36,0)</f>
      </c>
      <c r="AB201" s="41">
        <f>IF(DATE(2027,12,1)=DATE($D$36,$C$36,1),$E$36,0)</f>
      </c>
      <c r="AC201" s="42">
        <f>SUM(Q201:AB201)</f>
      </c>
      <c r="AD201" s="41">
        <f>IF(DATE(2028,1,1)=DATE($D$36,$C$36,1),$E$36,0)</f>
      </c>
      <c r="AE201" s="41">
        <f>IF(DATE(2028,2,1)=DATE($D$36,$C$36,1),$E$36,0)</f>
      </c>
      <c r="AF201" s="41">
        <f>IF(DATE(2028,3,1)=DATE($D$36,$C$36,1),$E$36,0)</f>
      </c>
      <c r="AG201" s="41">
        <f>IF(DATE(2028,4,1)=DATE($D$36,$C$36,1),$E$36,0)</f>
      </c>
      <c r="AH201" s="41">
        <f>IF(DATE(2028,5,1)=DATE($D$36,$C$36,1),$E$36,0)</f>
      </c>
      <c r="AI201" s="41">
        <f>IF(DATE(2028,6,1)=DATE($D$36,$C$36,1),$E$36,0)</f>
      </c>
      <c r="AJ201" s="41">
        <f>IF(DATE(2028,7,1)=DATE($D$36,$C$36,1),$E$36,0)</f>
      </c>
      <c r="AK201" s="41">
        <f>IF(DATE(2028,8,1)=DATE($D$36,$C$36,1),$E$36,0)</f>
      </c>
      <c r="AL201" s="41">
        <f>IF(DATE(2028,9,1)=DATE($D$36,$C$36,1),$E$36,0)</f>
      </c>
      <c r="AM201" s="41">
        <f>IF(DATE(2028,10,1)=DATE($D$36,$C$36,1),$E$36,0)</f>
      </c>
      <c r="AN201" s="41">
        <f>IF(DATE(2028,11,1)=DATE($D$36,$C$36,1),$E$36,0)</f>
      </c>
      <c r="AO201" s="41">
        <f>IF(DATE(2028,12,1)=DATE($D$36,$C$36,1),$E$36,0)</f>
      </c>
      <c r="AP201" s="42">
        <f>SUM(AD201:AO201)</f>
      </c>
    </row>
    <row r="202" hidden="1" spans="2:42" x14ac:dyDescent="0.25" outlineLevel="1" collapsed="1">
      <c r="B202" s="19" t="s">
        <v>81</v>
      </c>
      <c r="C202" s="40">
        <f>$E$16</f>
      </c>
      <c r="D202" s="41">
        <f>ROUND($C$16*$C$23,0)</f>
      </c>
      <c r="E202" s="41">
        <f>ROUND($C$16*$D$23,0)</f>
      </c>
      <c r="F202" s="41">
        <f>ROUND($C$16*$E$23,0)</f>
      </c>
      <c r="G202" s="41">
        <f>ROUND($C$16*$F$23,0)</f>
      </c>
      <c r="H202" s="41">
        <f>ROUND($C$16*$G$23,0)</f>
      </c>
      <c r="I202" s="41">
        <f>ROUND($C$16*$H$23,0)</f>
      </c>
      <c r="J202" s="41">
        <f>ROUND($C$16*$I$23,0)</f>
      </c>
      <c r="K202" s="41">
        <f>ROUND($C$16*$J$23,0)</f>
      </c>
      <c r="L202" s="41">
        <f>ROUND($C$16*$K$23,0)</f>
      </c>
      <c r="M202" s="41">
        <f>ROUND($C$16*$L$23,0)</f>
      </c>
      <c r="N202" s="41">
        <f>ROUND($C$16*$M$23,0)</f>
      </c>
      <c r="O202" s="41">
        <f>ROUND($C$16*$N$23,0)</f>
      </c>
      <c r="P202" s="42">
        <f>SUM(D202:O202)</f>
      </c>
      <c r="Q202" s="41">
        <f>ROUND(D202*(1+$C$202)^1,0)</f>
      </c>
      <c r="R202" s="41">
        <f>ROUND(E202*(1+$C$202)^1,0)</f>
      </c>
      <c r="S202" s="41">
        <f>ROUND(F202*(1+$C$202)^1,0)</f>
      </c>
      <c r="T202" s="41">
        <f>ROUND(G202*(1+$C$202)^1,0)</f>
      </c>
      <c r="U202" s="41">
        <f>ROUND(H202*(1+$C$202)^1,0)</f>
      </c>
      <c r="V202" s="41">
        <f>ROUND(I202*(1+$C$202)^1,0)</f>
      </c>
      <c r="W202" s="41">
        <f>ROUND(J202*(1+$C$202)^1,0)</f>
      </c>
      <c r="X202" s="41">
        <f>ROUND(K202*(1+$C$202)^1,0)</f>
      </c>
      <c r="Y202" s="41">
        <f>ROUND(L202*(1+$C$202)^1,0)</f>
      </c>
      <c r="Z202" s="41">
        <f>ROUND(M202*(1+$C$202)^1,0)</f>
      </c>
      <c r="AA202" s="41">
        <f>ROUND(N202*(1+$C$202)^1,0)</f>
      </c>
      <c r="AB202" s="41">
        <f>ROUND(O202*(1+$C$202)^1,0)</f>
      </c>
      <c r="AC202" s="42">
        <f>SUM(Q202:AB202)</f>
      </c>
      <c r="AD202" s="41">
        <f>ROUND(D202*(1+$C$202)^2,0)</f>
      </c>
      <c r="AE202" s="41">
        <f>ROUND(E202*(1+$C$202)^2,0)</f>
      </c>
      <c r="AF202" s="41">
        <f>ROUND(F202*(1+$C$202)^2,0)</f>
      </c>
      <c r="AG202" s="41">
        <f>ROUND(G202*(1+$C$202)^2,0)</f>
      </c>
      <c r="AH202" s="41">
        <f>ROUND(H202*(1+$C$202)^2,0)</f>
      </c>
      <c r="AI202" s="41">
        <f>ROUND(I202*(1+$C$202)^2,0)</f>
      </c>
      <c r="AJ202" s="41">
        <f>ROUND(J202*(1+$C$202)^2,0)</f>
      </c>
      <c r="AK202" s="41">
        <f>ROUND(K202*(1+$C$202)^2,0)</f>
      </c>
      <c r="AL202" s="41">
        <f>ROUND(L202*(1+$C$202)^2,0)</f>
      </c>
      <c r="AM202" s="41">
        <f>ROUND(M202*(1+$C$202)^2,0)</f>
      </c>
      <c r="AN202" s="41">
        <f>ROUND(N202*(1+$C$202)^2,0)</f>
      </c>
      <c r="AO202" s="41">
        <f>ROUND(O202*(1+$C$202)^2,0)</f>
      </c>
      <c r="AP202" s="42">
        <f>SUM(AD202:AO202)</f>
      </c>
    </row>
    <row r="203" hidden="1" spans="2:42" x14ac:dyDescent="0.25" outlineLevel="1" collapsed="1">
      <c r="B203" s="19" t="s">
        <v>82</v>
      </c>
      <c r="C203" s="40">
        <f>$E$17</f>
      </c>
      <c r="D203" s="41">
        <f>ROUND($C$17*$C$24,0)</f>
      </c>
      <c r="E203" s="41">
        <f>ROUND($C$17*$D$24,0)</f>
      </c>
      <c r="F203" s="41">
        <f>ROUND($C$17*$E$24,0)</f>
      </c>
      <c r="G203" s="41">
        <f>ROUND($C$17*$F$24,0)</f>
      </c>
      <c r="H203" s="41">
        <f>ROUND($C$17*$G$24,0)</f>
      </c>
      <c r="I203" s="41">
        <f>ROUND($C$17*$H$24,0)</f>
      </c>
      <c r="J203" s="41">
        <f>ROUND($C$17*$I$24,0)</f>
      </c>
      <c r="K203" s="41">
        <f>ROUND($C$17*$J$24,0)</f>
      </c>
      <c r="L203" s="41">
        <f>ROUND($C$17*$K$24,0)</f>
      </c>
      <c r="M203" s="41">
        <f>ROUND($C$17*$L$24,0)</f>
      </c>
      <c r="N203" s="41">
        <f>ROUND($C$17*$M$24,0)</f>
      </c>
      <c r="O203" s="41">
        <f>ROUND($C$17*$N$24,0)</f>
      </c>
      <c r="P203" s="42">
        <f>SUM(D203:O203)</f>
      </c>
      <c r="Q203" s="41">
        <f>ROUND(D203*(1+$C$203)^1,0)</f>
      </c>
      <c r="R203" s="41">
        <f>ROUND(E203*(1+$C$203)^1,0)</f>
      </c>
      <c r="S203" s="41">
        <f>ROUND(F203*(1+$C$203)^1,0)</f>
      </c>
      <c r="T203" s="41">
        <f>ROUND(G203*(1+$C$203)^1,0)</f>
      </c>
      <c r="U203" s="41">
        <f>ROUND(H203*(1+$C$203)^1,0)</f>
      </c>
      <c r="V203" s="41">
        <f>ROUND(I203*(1+$C$203)^1,0)</f>
      </c>
      <c r="W203" s="41">
        <f>ROUND(J203*(1+$C$203)^1,0)</f>
      </c>
      <c r="X203" s="41">
        <f>ROUND(K203*(1+$C$203)^1,0)</f>
      </c>
      <c r="Y203" s="41">
        <f>ROUND(L203*(1+$C$203)^1,0)</f>
      </c>
      <c r="Z203" s="41">
        <f>ROUND(M203*(1+$C$203)^1,0)</f>
      </c>
      <c r="AA203" s="41">
        <f>ROUND(N203*(1+$C$203)^1,0)</f>
      </c>
      <c r="AB203" s="41">
        <f>ROUND(O203*(1+$C$203)^1,0)</f>
      </c>
      <c r="AC203" s="42">
        <f>SUM(Q203:AB203)</f>
      </c>
      <c r="AD203" s="41">
        <f>ROUND(D203*(1+$C$203)^2,0)</f>
      </c>
      <c r="AE203" s="41">
        <f>ROUND(E203*(1+$C$203)^2,0)</f>
      </c>
      <c r="AF203" s="41">
        <f>ROUND(F203*(1+$C$203)^2,0)</f>
      </c>
      <c r="AG203" s="41">
        <f>ROUND(G203*(1+$C$203)^2,0)</f>
      </c>
      <c r="AH203" s="41">
        <f>ROUND(H203*(1+$C$203)^2,0)</f>
      </c>
      <c r="AI203" s="41">
        <f>ROUND(I203*(1+$C$203)^2,0)</f>
      </c>
      <c r="AJ203" s="41">
        <f>ROUND(J203*(1+$C$203)^2,0)</f>
      </c>
      <c r="AK203" s="41">
        <f>ROUND(K203*(1+$C$203)^2,0)</f>
      </c>
      <c r="AL203" s="41">
        <f>ROUND(L203*(1+$C$203)^2,0)</f>
      </c>
      <c r="AM203" s="41">
        <f>ROUND(M203*(1+$C$203)^2,0)</f>
      </c>
      <c r="AN203" s="41">
        <f>ROUND(N203*(1+$C$203)^2,0)</f>
      </c>
      <c r="AO203" s="41">
        <f>ROUND(O203*(1+$C$203)^2,0)</f>
      </c>
      <c r="AP203" s="42">
        <f>SUM(AD203:AO203)</f>
      </c>
    </row>
    <row r="204" hidden="1" spans="2:42" x14ac:dyDescent="0.25" outlineLevel="1" collapsed="1">
      <c r="B204" s="44" t="s">
        <v>83</v>
      </c>
      <c r="C204" s="45">
        <f>$E$18</f>
      </c>
      <c r="D204" s="46">
        <f>ROUND($C$18*$C$25,0)</f>
      </c>
      <c r="E204" s="46">
        <f>ROUND($C$18*$D$25,0)</f>
      </c>
      <c r="F204" s="46">
        <f>ROUND($C$18*$E$25,0)</f>
      </c>
      <c r="G204" s="46">
        <f>ROUND($C$18*$F$25,0)</f>
      </c>
      <c r="H204" s="46">
        <f>ROUND($C$18*$G$25,0)</f>
      </c>
      <c r="I204" s="46">
        <f>ROUND($C$18*$H$25,0)</f>
      </c>
      <c r="J204" s="46">
        <f>ROUND($C$18*$I$25,0)</f>
      </c>
      <c r="K204" s="46">
        <f>ROUND($C$18*$J$25,0)</f>
      </c>
      <c r="L204" s="46">
        <f>ROUND($C$18*$K$25,0)</f>
      </c>
      <c r="M204" s="46">
        <f>ROUND($C$18*$L$25,0)</f>
      </c>
      <c r="N204" s="46">
        <f>ROUND($C$18*$M$25,0)</f>
      </c>
      <c r="O204" s="46">
        <f>ROUND($C$18*$N$25,0)</f>
      </c>
      <c r="P204" s="47">
        <f>SUM(D204:O204)</f>
      </c>
      <c r="Q204" s="46">
        <f>ROUND(D204*(1+$C$204)^1,0)</f>
      </c>
      <c r="R204" s="46">
        <f>ROUND(E204*(1+$C$204)^1,0)</f>
      </c>
      <c r="S204" s="46">
        <f>ROUND(F204*(1+$C$204)^1,0)</f>
      </c>
      <c r="T204" s="46">
        <f>ROUND(G204*(1+$C$204)^1,0)</f>
      </c>
      <c r="U204" s="46">
        <f>ROUND(H204*(1+$C$204)^1,0)</f>
      </c>
      <c r="V204" s="46">
        <f>ROUND(I204*(1+$C$204)^1,0)</f>
      </c>
      <c r="W204" s="46">
        <f>ROUND(J204*(1+$C$204)^1,0)</f>
      </c>
      <c r="X204" s="46">
        <f>ROUND(K204*(1+$C$204)^1,0)</f>
      </c>
      <c r="Y204" s="46">
        <f>ROUND(L204*(1+$C$204)^1,0)</f>
      </c>
      <c r="Z204" s="46">
        <f>ROUND(M204*(1+$C$204)^1,0)</f>
      </c>
      <c r="AA204" s="46">
        <f>ROUND(N204*(1+$C$204)^1,0)</f>
      </c>
      <c r="AB204" s="46">
        <f>ROUND(O204*(1+$C$204)^1,0)</f>
      </c>
      <c r="AC204" s="47">
        <f>SUM(Q204:AB204)</f>
      </c>
      <c r="AD204" s="46">
        <f>ROUND(D204*(1+$C$204)^2,0)</f>
      </c>
      <c r="AE204" s="46">
        <f>ROUND(E204*(1+$C$204)^2,0)</f>
      </c>
      <c r="AF204" s="46">
        <f>ROUND(F204*(1+$C$204)^2,0)</f>
      </c>
      <c r="AG204" s="46">
        <f>ROUND(G204*(1+$C$204)^2,0)</f>
      </c>
      <c r="AH204" s="46">
        <f>ROUND(H204*(1+$C$204)^2,0)</f>
      </c>
      <c r="AI204" s="46">
        <f>ROUND(I204*(1+$C$204)^2,0)</f>
      </c>
      <c r="AJ204" s="46">
        <f>ROUND(J204*(1+$C$204)^2,0)</f>
      </c>
      <c r="AK204" s="46">
        <f>ROUND(K204*(1+$C$204)^2,0)</f>
      </c>
      <c r="AL204" s="46">
        <f>ROUND(L204*(1+$C$204)^2,0)</f>
      </c>
      <c r="AM204" s="46">
        <f>ROUND(M204*(1+$C$204)^2,0)</f>
      </c>
      <c r="AN204" s="46">
        <f>ROUND(N204*(1+$C$204)^2,0)</f>
      </c>
      <c r="AO204" s="46">
        <f>ROUND(O204*(1+$C$204)^2,0)</f>
      </c>
      <c r="AP204" s="47">
        <f>SUM(AD204:AO204)</f>
      </c>
    </row>
    <row r="205" hidden="1" spans="2:42" x14ac:dyDescent="0.25" outlineLevel="1" collapsed="1">
      <c r="B205" s="19" t="s">
        <v>260</v>
      </c>
      <c r="D205" s="48">
        <f>SUM(D193:D204)</f>
      </c>
      <c r="E205" s="48">
        <f>SUM(E193:E204)</f>
      </c>
      <c r="F205" s="48">
        <f>SUM(F193:F204)</f>
      </c>
      <c r="G205" s="48">
        <f>SUM(G193:G204)</f>
      </c>
      <c r="H205" s="48">
        <f>SUM(H193:H204)</f>
      </c>
      <c r="I205" s="48">
        <f>SUM(I193:I204)</f>
      </c>
      <c r="J205" s="48">
        <f>SUM(J193:J204)</f>
      </c>
      <c r="K205" s="48">
        <f>SUM(K193:K204)</f>
      </c>
      <c r="L205" s="48">
        <f>SUM(L193:L204)</f>
      </c>
      <c r="M205" s="48">
        <f>SUM(M193:M204)</f>
      </c>
      <c r="N205" s="48">
        <f>SUM(N193:N204)</f>
      </c>
      <c r="O205" s="48">
        <f>SUM(O193:O204)</f>
      </c>
      <c r="P205" s="42">
        <f>SUM(D205:O205)</f>
      </c>
      <c r="Q205" s="48">
        <f>SUM(Q193:Q204)</f>
      </c>
      <c r="R205" s="48">
        <f>SUM(R193:R204)</f>
      </c>
      <c r="S205" s="48">
        <f>SUM(S193:S204)</f>
      </c>
      <c r="T205" s="48">
        <f>SUM(T193:T204)</f>
      </c>
      <c r="U205" s="48">
        <f>SUM(U193:U204)</f>
      </c>
      <c r="V205" s="48">
        <f>SUM(V193:V204)</f>
      </c>
      <c r="W205" s="48">
        <f>SUM(W193:W204)</f>
      </c>
      <c r="X205" s="48">
        <f>SUM(X193:X204)</f>
      </c>
      <c r="Y205" s="48">
        <f>SUM(Y193:Y204)</f>
      </c>
      <c r="Z205" s="48">
        <f>SUM(Z193:Z204)</f>
      </c>
      <c r="AA205" s="48">
        <f>SUM(AA193:AA204)</f>
      </c>
      <c r="AB205" s="48">
        <f>SUM(AB193:AB204)</f>
      </c>
      <c r="AC205" s="42">
        <f>SUM(Q205:AB205)</f>
      </c>
      <c r="AD205" s="48">
        <f>SUM(AD193:AD204)</f>
      </c>
      <c r="AE205" s="48">
        <f>SUM(AE193:AE204)</f>
      </c>
      <c r="AF205" s="48">
        <f>SUM(AF193:AF204)</f>
      </c>
      <c r="AG205" s="48">
        <f>SUM(AG193:AG204)</f>
      </c>
      <c r="AH205" s="48">
        <f>SUM(AH193:AH204)</f>
      </c>
      <c r="AI205" s="48">
        <f>SUM(AI193:AI204)</f>
      </c>
      <c r="AJ205" s="48">
        <f>SUM(AJ193:AJ204)</f>
      </c>
      <c r="AK205" s="48">
        <f>SUM(AK193:AK204)</f>
      </c>
      <c r="AL205" s="48">
        <f>SUM(AL193:AL204)</f>
      </c>
      <c r="AM205" s="48">
        <f>SUM(AM193:AM204)</f>
      </c>
      <c r="AN205" s="48">
        <f>SUM(AN193:AN204)</f>
      </c>
      <c r="AO205" s="48">
        <f>SUM(AO193:AO204)</f>
      </c>
      <c r="AP205" s="42">
        <f>SUM(AD205:AO205)</f>
      </c>
    </row>
    <row r="206" hidden="1" spans="1:1" x14ac:dyDescent="0.25" outlineLevel="1" collapsed="1">
      <c r="A206" s="19" t="s">
        <v>261</v>
      </c>
    </row>
    <row r="207" ht="20" customHeight="1" hidden="1" spans="2:42" x14ac:dyDescent="0.25" outlineLevel="1" collapsed="1">
      <c r="B207" s="4" t="s">
        <v>262</v>
      </c>
      <c r="C207" s="38" t="s">
        <v>219</v>
      </c>
      <c r="D207" s="18" t="s">
        <v>220</v>
      </c>
      <c r="E207" s="18" t="s">
        <v>221</v>
      </c>
      <c r="F207" s="18" t="s">
        <v>222</v>
      </c>
      <c r="G207" s="18" t="s">
        <v>223</v>
      </c>
      <c r="H207" s="18" t="s">
        <v>224</v>
      </c>
      <c r="I207" s="18" t="s">
        <v>225</v>
      </c>
      <c r="J207" s="18" t="s">
        <v>226</v>
      </c>
      <c r="K207" s="18" t="s">
        <v>227</v>
      </c>
      <c r="L207" s="18" t="s">
        <v>228</v>
      </c>
      <c r="M207" s="18" t="s">
        <v>229</v>
      </c>
      <c r="N207" s="18" t="s">
        <v>230</v>
      </c>
      <c r="O207" s="18" t="s">
        <v>231</v>
      </c>
      <c r="P207" s="39" t="s">
        <v>232</v>
      </c>
      <c r="Q207" s="18" t="s">
        <v>233</v>
      </c>
      <c r="R207" s="18" t="s">
        <v>234</v>
      </c>
      <c r="S207" s="18" t="s">
        <v>235</v>
      </c>
      <c r="T207" s="18" t="s">
        <v>236</v>
      </c>
      <c r="U207" s="18" t="s">
        <v>237</v>
      </c>
      <c r="V207" s="18" t="s">
        <v>238</v>
      </c>
      <c r="W207" s="18" t="s">
        <v>239</v>
      </c>
      <c r="X207" s="18" t="s">
        <v>240</v>
      </c>
      <c r="Y207" s="18" t="s">
        <v>241</v>
      </c>
      <c r="Z207" s="18" t="s">
        <v>242</v>
      </c>
      <c r="AA207" s="18" t="s">
        <v>243</v>
      </c>
      <c r="AB207" s="18" t="s">
        <v>244</v>
      </c>
      <c r="AC207" s="39" t="s">
        <v>245</v>
      </c>
      <c r="AD207" s="18" t="s">
        <v>246</v>
      </c>
      <c r="AE207" s="18" t="s">
        <v>247</v>
      </c>
      <c r="AF207" s="18" t="s">
        <v>248</v>
      </c>
      <c r="AG207" s="18" t="s">
        <v>249</v>
      </c>
      <c r="AH207" s="18" t="s">
        <v>250</v>
      </c>
      <c r="AI207" s="18" t="s">
        <v>251</v>
      </c>
      <c r="AJ207" s="18" t="s">
        <v>252</v>
      </c>
      <c r="AK207" s="18" t="s">
        <v>253</v>
      </c>
      <c r="AL207" s="18" t="s">
        <v>254</v>
      </c>
      <c r="AM207" s="18" t="s">
        <v>255</v>
      </c>
      <c r="AN207" s="18" t="s">
        <v>256</v>
      </c>
      <c r="AO207" s="18" t="s">
        <v>257</v>
      </c>
      <c r="AP207" s="39" t="s">
        <v>258</v>
      </c>
    </row>
    <row r="208" hidden="1" spans="2:42" x14ac:dyDescent="0.25" outlineLevel="1" collapsed="1">
      <c r="B208" s="19" t="s">
        <v>263</v>
      </c>
      <c r="C208" s="40">
        <f>E41</f>
      </c>
      <c r="D208" s="41">
        <f>ROUND($C$41*$D$41*(1+$E$41)^0*1.21/12,0)</f>
      </c>
      <c r="E208" s="41">
        <f>ROUND($C$41*$D$41*(1+$E$41)^0*1.21/12,0)</f>
      </c>
      <c r="F208" s="41">
        <f>ROUND($C$41*$D$41*(1+$E$41)^0*1.21/12,0)</f>
      </c>
      <c r="G208" s="41">
        <f>ROUND($C$41*$D$41*(1+$E$41)^0*1.21/12,0)</f>
      </c>
      <c r="H208" s="41">
        <f>ROUND($C$41*$D$41*(1+$E$41)^0*1.21/12,0)</f>
      </c>
      <c r="I208" s="41">
        <f>ROUND($C$41*$D$41*(1+$E$41)^0*1.21/12,0)</f>
      </c>
      <c r="J208" s="41">
        <f>ROUND($C$41*$D$41*(1+$E$41)^0*1.21/12,0)</f>
      </c>
      <c r="K208" s="41">
        <f>ROUND($C$41*$D$41*(1+$E$41)^0*1.21/12,0)</f>
      </c>
      <c r="L208" s="41">
        <f>ROUND($C$41*$D$41*(1+$E$41)^0*1.21/12,0)</f>
      </c>
      <c r="M208" s="41">
        <f>ROUND($C$41*$D$41*(1+$E$41)^0*1.21/12,0)</f>
      </c>
      <c r="N208" s="41">
        <f>ROUND($C$41*$D$41*(1+$E$41)^0*1.21/12,0)</f>
      </c>
      <c r="O208" s="41">
        <f>ROUND($C$41*$D$41*(1+$E$41)^0*1.21/12,0)</f>
      </c>
      <c r="P208" s="42">
        <f>SUM(D208:O208)</f>
      </c>
      <c r="Q208" s="41">
        <f>ROUND($C$41*$D$41*(1+$E$41)^1*1.21/12,0)</f>
      </c>
      <c r="R208" s="41">
        <f>ROUND($C$41*$D$41*(1+$E$41)^1*1.21/12,0)</f>
      </c>
      <c r="S208" s="41">
        <f>ROUND($C$41*$D$41*(1+$E$41)^1*1.21/12,0)</f>
      </c>
      <c r="T208" s="41">
        <f>ROUND($C$41*$D$41*(1+$E$41)^1*1.21/12,0)</f>
      </c>
      <c r="U208" s="41">
        <f>ROUND($C$41*$D$41*(1+$E$41)^1*1.21/12,0)</f>
      </c>
      <c r="V208" s="41">
        <f>ROUND($C$41*$D$41*(1+$E$41)^1*1.21/12,0)</f>
      </c>
      <c r="W208" s="41">
        <f>ROUND($C$41*$D$41*(1+$E$41)^1*1.21/12,0)</f>
      </c>
      <c r="X208" s="41">
        <f>ROUND($C$41*$D$41*(1+$E$41)^1*1.21/12,0)</f>
      </c>
      <c r="Y208" s="41">
        <f>ROUND($C$41*$D$41*(1+$E$41)^1*1.21/12,0)</f>
      </c>
      <c r="Z208" s="41">
        <f>ROUND($C$41*$D$41*(1+$E$41)^1*1.21/12,0)</f>
      </c>
      <c r="AA208" s="41">
        <f>ROUND($C$41*$D$41*(1+$E$41)^1*1.21/12,0)</f>
      </c>
      <c r="AB208" s="41">
        <f>ROUND($C$41*$D$41*(1+$E$41)^1*1.21/12,0)</f>
      </c>
      <c r="AC208" s="42">
        <f>SUM(Q208:AB208)</f>
      </c>
      <c r="AD208" s="41">
        <f>ROUND($C$41*$D$41*(1+$E$41)^2*1.21/12,0)</f>
      </c>
      <c r="AE208" s="41">
        <f>ROUND($C$41*$D$41*(1+$E$41)^2*1.21/12,0)</f>
      </c>
      <c r="AF208" s="41">
        <f>ROUND($C$41*$D$41*(1+$E$41)^2*1.21/12,0)</f>
      </c>
      <c r="AG208" s="41">
        <f>ROUND($C$41*$D$41*(1+$E$41)^2*1.21/12,0)</f>
      </c>
      <c r="AH208" s="41">
        <f>ROUND($C$41*$D$41*(1+$E$41)^2*1.21/12,0)</f>
      </c>
      <c r="AI208" s="41">
        <f>ROUND($C$41*$D$41*(1+$E$41)^2*1.21/12,0)</f>
      </c>
      <c r="AJ208" s="41">
        <f>ROUND($C$41*$D$41*(1+$E$41)^2*1.21/12,0)</f>
      </c>
      <c r="AK208" s="41">
        <f>ROUND($C$41*$D$41*(1+$E$41)^2*1.21/12,0)</f>
      </c>
      <c r="AL208" s="41">
        <f>ROUND($C$41*$D$41*(1+$E$41)^2*1.21/12,0)</f>
      </c>
      <c r="AM208" s="41">
        <f>ROUND($C$41*$D$41*(1+$E$41)^2*1.21/12,0)</f>
      </c>
      <c r="AN208" s="41">
        <f>ROUND($C$41*$D$41*(1+$E$41)^2*1.21/12,0)</f>
      </c>
      <c r="AO208" s="41">
        <f>ROUND($C$41*$D$41*(1+$E$41)^2*1.21/12,0)</f>
      </c>
      <c r="AP208" s="42">
        <f>SUM(AD208:AO208)</f>
      </c>
    </row>
    <row r="209" hidden="1" spans="2:42" x14ac:dyDescent="0.25" outlineLevel="1" collapsed="1">
      <c r="B209" s="19" t="s">
        <v>113</v>
      </c>
      <c r="C209" s="40">
        <f>E42</f>
      </c>
      <c r="D209" s="41">
        <f>ROUND($C$42*$D$42*(1+$E$42)^0*1.21/12,0)</f>
      </c>
      <c r="E209" s="41">
        <f>ROUND($C$42*$D$42*(1+$E$42)^0*1.21/12,0)</f>
      </c>
      <c r="F209" s="41">
        <f>ROUND($C$42*$D$42*(1+$E$42)^0*1.21/12,0)</f>
      </c>
      <c r="G209" s="41">
        <f>ROUND($C$42*$D$42*(1+$E$42)^0*1.21/12,0)</f>
      </c>
      <c r="H209" s="41">
        <f>ROUND($C$42*$D$42*(1+$E$42)^0*1.21/12,0)</f>
      </c>
      <c r="I209" s="41">
        <f>ROUND($C$42*$D$42*(1+$E$42)^0*1.21/12,0)</f>
      </c>
      <c r="J209" s="41">
        <f>ROUND($C$42*$D$42*(1+$E$42)^0*1.21/12,0)</f>
      </c>
      <c r="K209" s="41">
        <f>ROUND($C$42*$D$42*(1+$E$42)^0*1.21/12,0)</f>
      </c>
      <c r="L209" s="41">
        <f>ROUND($C$42*$D$42*(1+$E$42)^0*1.21/12,0)</f>
      </c>
      <c r="M209" s="41">
        <f>ROUND($C$42*$D$42*(1+$E$42)^0*1.21/12,0)</f>
      </c>
      <c r="N209" s="41">
        <f>ROUND($C$42*$D$42*(1+$E$42)^0*1.21/12,0)</f>
      </c>
      <c r="O209" s="41">
        <f>ROUND($C$42*$D$42*(1+$E$42)^0*1.21/12,0)</f>
      </c>
      <c r="P209" s="42">
        <f>SUM(D209:O209)</f>
      </c>
      <c r="Q209" s="41">
        <f>ROUND($C$42*$D$42*(1+$E$42)^1*1.21/12,0)</f>
      </c>
      <c r="R209" s="41">
        <f>ROUND($C$42*$D$42*(1+$E$42)^1*1.21/12,0)</f>
      </c>
      <c r="S209" s="41">
        <f>ROUND($C$42*$D$42*(1+$E$42)^1*1.21/12,0)</f>
      </c>
      <c r="T209" s="41">
        <f>ROUND($C$42*$D$42*(1+$E$42)^1*1.21/12,0)</f>
      </c>
      <c r="U209" s="41">
        <f>ROUND($C$42*$D$42*(1+$E$42)^1*1.21/12,0)</f>
      </c>
      <c r="V209" s="41">
        <f>ROUND($C$42*$D$42*(1+$E$42)^1*1.21/12,0)</f>
      </c>
      <c r="W209" s="41">
        <f>ROUND($C$42*$D$42*(1+$E$42)^1*1.21/12,0)</f>
      </c>
      <c r="X209" s="41">
        <f>ROUND($C$42*$D$42*(1+$E$42)^1*1.21/12,0)</f>
      </c>
      <c r="Y209" s="41">
        <f>ROUND($C$42*$D$42*(1+$E$42)^1*1.21/12,0)</f>
      </c>
      <c r="Z209" s="41">
        <f>ROUND($C$42*$D$42*(1+$E$42)^1*1.21/12,0)</f>
      </c>
      <c r="AA209" s="41">
        <f>ROUND($C$42*$D$42*(1+$E$42)^1*1.21/12,0)</f>
      </c>
      <c r="AB209" s="41">
        <f>ROUND($C$42*$D$42*(1+$E$42)^1*1.21/12,0)</f>
      </c>
      <c r="AC209" s="42">
        <f>SUM(Q209:AB209)</f>
      </c>
      <c r="AD209" s="41">
        <f>ROUND($C$42*$D$42*(1+$E$42)^2*1.21/12,0)</f>
      </c>
      <c r="AE209" s="41">
        <f>ROUND($C$42*$D$42*(1+$E$42)^2*1.21/12,0)</f>
      </c>
      <c r="AF209" s="41">
        <f>ROUND($C$42*$D$42*(1+$E$42)^2*1.21/12,0)</f>
      </c>
      <c r="AG209" s="41">
        <f>ROUND($C$42*$D$42*(1+$E$42)^2*1.21/12,0)</f>
      </c>
      <c r="AH209" s="41">
        <f>ROUND($C$42*$D$42*(1+$E$42)^2*1.21/12,0)</f>
      </c>
      <c r="AI209" s="41">
        <f>ROUND($C$42*$D$42*(1+$E$42)^2*1.21/12,0)</f>
      </c>
      <c r="AJ209" s="41">
        <f>ROUND($C$42*$D$42*(1+$E$42)^2*1.21/12,0)</f>
      </c>
      <c r="AK209" s="41">
        <f>ROUND($C$42*$D$42*(1+$E$42)^2*1.21/12,0)</f>
      </c>
      <c r="AL209" s="41">
        <f>ROUND($C$42*$D$42*(1+$E$42)^2*1.21/12,0)</f>
      </c>
      <c r="AM209" s="41">
        <f>ROUND($C$42*$D$42*(1+$E$42)^2*1.21/12,0)</f>
      </c>
      <c r="AN209" s="41">
        <f>ROUND($C$42*$D$42*(1+$E$42)^2*1.21/12,0)</f>
      </c>
      <c r="AO209" s="41">
        <f>ROUND($C$42*$D$42*(1+$E$42)^2*1.21/12,0)</f>
      </c>
      <c r="AP209" s="42">
        <f>SUM(AD209:AO209)</f>
      </c>
    </row>
    <row r="210" hidden="1" spans="2:42" x14ac:dyDescent="0.25" outlineLevel="1" collapsed="1">
      <c r="B210" s="19" t="s">
        <v>114</v>
      </c>
      <c r="C210" s="40">
        <f>E43</f>
      </c>
      <c r="D210" s="41">
        <f>ROUND($C$43*$D$43*(1+$E$43)^0*1.21/12,0)</f>
      </c>
      <c r="E210" s="41">
        <f>ROUND($C$43*$D$43*(1+$E$43)^0*1.21/12,0)</f>
      </c>
      <c r="F210" s="41">
        <f>ROUND($C$43*$D$43*(1+$E$43)^0*1.21/12,0)</f>
      </c>
      <c r="G210" s="41">
        <f>ROUND($C$43*$D$43*(1+$E$43)^0*1.21/12,0)</f>
      </c>
      <c r="H210" s="41">
        <f>ROUND($C$43*$D$43*(1+$E$43)^0*1.21/12,0)</f>
      </c>
      <c r="I210" s="41">
        <f>ROUND($C$43*$D$43*(1+$E$43)^0*1.21/12,0)</f>
      </c>
      <c r="J210" s="41">
        <f>ROUND($C$43*$D$43*(1+$E$43)^0*1.21/12,0)</f>
      </c>
      <c r="K210" s="41">
        <f>ROUND($C$43*$D$43*(1+$E$43)^0*1.21/12,0)</f>
      </c>
      <c r="L210" s="41">
        <f>ROUND($C$43*$D$43*(1+$E$43)^0*1.21/12,0)</f>
      </c>
      <c r="M210" s="41">
        <f>ROUND($C$43*$D$43*(1+$E$43)^0*1.21/12,0)</f>
      </c>
      <c r="N210" s="41">
        <f>ROUND($C$43*$D$43*(1+$E$43)^0*1.21/12,0)</f>
      </c>
      <c r="O210" s="41">
        <f>ROUND($C$43*$D$43*(1+$E$43)^0*1.21/12,0)</f>
      </c>
      <c r="P210" s="42">
        <f>SUM(D210:O210)</f>
      </c>
      <c r="Q210" s="41">
        <f>ROUND($C$43*$D$43*(1+$E$43)^1*1.21/12,0)</f>
      </c>
      <c r="R210" s="41">
        <f>ROUND($C$43*$D$43*(1+$E$43)^1*1.21/12,0)</f>
      </c>
      <c r="S210" s="41">
        <f>ROUND($C$43*$D$43*(1+$E$43)^1*1.21/12,0)</f>
      </c>
      <c r="T210" s="41">
        <f>ROUND($C$43*$D$43*(1+$E$43)^1*1.21/12,0)</f>
      </c>
      <c r="U210" s="41">
        <f>ROUND($C$43*$D$43*(1+$E$43)^1*1.21/12,0)</f>
      </c>
      <c r="V210" s="41">
        <f>ROUND($C$43*$D$43*(1+$E$43)^1*1.21/12,0)</f>
      </c>
      <c r="W210" s="41">
        <f>ROUND($C$43*$D$43*(1+$E$43)^1*1.21/12,0)</f>
      </c>
      <c r="X210" s="41">
        <f>ROUND($C$43*$D$43*(1+$E$43)^1*1.21/12,0)</f>
      </c>
      <c r="Y210" s="41">
        <f>ROUND($C$43*$D$43*(1+$E$43)^1*1.21/12,0)</f>
      </c>
      <c r="Z210" s="41">
        <f>ROUND($C$43*$D$43*(1+$E$43)^1*1.21/12,0)</f>
      </c>
      <c r="AA210" s="41">
        <f>ROUND($C$43*$D$43*(1+$E$43)^1*1.21/12,0)</f>
      </c>
      <c r="AB210" s="41">
        <f>ROUND($C$43*$D$43*(1+$E$43)^1*1.21/12,0)</f>
      </c>
      <c r="AC210" s="42">
        <f>SUM(Q210:AB210)</f>
      </c>
      <c r="AD210" s="41">
        <f>ROUND($C$43*$D$43*(1+$E$43)^2*1.21/12,0)</f>
      </c>
      <c r="AE210" s="41">
        <f>ROUND($C$43*$D$43*(1+$E$43)^2*1.21/12,0)</f>
      </c>
      <c r="AF210" s="41">
        <f>ROUND($C$43*$D$43*(1+$E$43)^2*1.21/12,0)</f>
      </c>
      <c r="AG210" s="41">
        <f>ROUND($C$43*$D$43*(1+$E$43)^2*1.21/12,0)</f>
      </c>
      <c r="AH210" s="41">
        <f>ROUND($C$43*$D$43*(1+$E$43)^2*1.21/12,0)</f>
      </c>
      <c r="AI210" s="41">
        <f>ROUND($C$43*$D$43*(1+$E$43)^2*1.21/12,0)</f>
      </c>
      <c r="AJ210" s="41">
        <f>ROUND($C$43*$D$43*(1+$E$43)^2*1.21/12,0)</f>
      </c>
      <c r="AK210" s="41">
        <f>ROUND($C$43*$D$43*(1+$E$43)^2*1.21/12,0)</f>
      </c>
      <c r="AL210" s="41">
        <f>ROUND($C$43*$D$43*(1+$E$43)^2*1.21/12,0)</f>
      </c>
      <c r="AM210" s="41">
        <f>ROUND($C$43*$D$43*(1+$E$43)^2*1.21/12,0)</f>
      </c>
      <c r="AN210" s="41">
        <f>ROUND($C$43*$D$43*(1+$E$43)^2*1.21/12,0)</f>
      </c>
      <c r="AO210" s="41">
        <f>ROUND($C$43*$D$43*(1+$E$43)^2*1.21/12,0)</f>
      </c>
      <c r="AP210" s="42">
        <f>SUM(AD210:AO210)</f>
      </c>
    </row>
    <row r="211" hidden="1" spans="2:42" x14ac:dyDescent="0.25" outlineLevel="1" collapsed="1">
      <c r="B211" s="19" t="s">
        <v>115</v>
      </c>
      <c r="C211" s="40">
        <f>E44</f>
      </c>
      <c r="D211" s="41">
        <f>ROUND($C$44*$D$44*(1+$E$44)^0*1.21/12,0)</f>
      </c>
      <c r="E211" s="41">
        <f>ROUND($C$44*$D$44*(1+$E$44)^0*1.21/12,0)</f>
      </c>
      <c r="F211" s="41">
        <f>ROUND($C$44*$D$44*(1+$E$44)^0*1.21/12,0)</f>
      </c>
      <c r="G211" s="41">
        <f>ROUND($C$44*$D$44*(1+$E$44)^0*1.21/12,0)</f>
      </c>
      <c r="H211" s="41">
        <f>ROUND($C$44*$D$44*(1+$E$44)^0*1.21/12,0)</f>
      </c>
      <c r="I211" s="41">
        <f>ROUND($C$44*$D$44*(1+$E$44)^0*1.21/12,0)</f>
      </c>
      <c r="J211" s="41">
        <f>ROUND($C$44*$D$44*(1+$E$44)^0*1.21/12,0)</f>
      </c>
      <c r="K211" s="41">
        <f>ROUND($C$44*$D$44*(1+$E$44)^0*1.21/12,0)</f>
      </c>
      <c r="L211" s="41">
        <f>ROUND($C$44*$D$44*(1+$E$44)^0*1.21/12,0)</f>
      </c>
      <c r="M211" s="41">
        <f>ROUND($C$44*$D$44*(1+$E$44)^0*1.21/12,0)</f>
      </c>
      <c r="N211" s="41">
        <f>ROUND($C$44*$D$44*(1+$E$44)^0*1.21/12,0)</f>
      </c>
      <c r="O211" s="41">
        <f>ROUND($C$44*$D$44*(1+$E$44)^0*1.21/12,0)</f>
      </c>
      <c r="P211" s="42">
        <f>SUM(D211:O211)</f>
      </c>
      <c r="Q211" s="41">
        <f>ROUND($C$44*$D$44*(1+$E$44)^1*1.21/12,0)</f>
      </c>
      <c r="R211" s="41">
        <f>ROUND($C$44*$D$44*(1+$E$44)^1*1.21/12,0)</f>
      </c>
      <c r="S211" s="41">
        <f>ROUND($C$44*$D$44*(1+$E$44)^1*1.21/12,0)</f>
      </c>
      <c r="T211" s="41">
        <f>ROUND($C$44*$D$44*(1+$E$44)^1*1.21/12,0)</f>
      </c>
      <c r="U211" s="41">
        <f>ROUND($C$44*$D$44*(1+$E$44)^1*1.21/12,0)</f>
      </c>
      <c r="V211" s="41">
        <f>ROUND($C$44*$D$44*(1+$E$44)^1*1.21/12,0)</f>
      </c>
      <c r="W211" s="41">
        <f>ROUND($C$44*$D$44*(1+$E$44)^1*1.21/12,0)</f>
      </c>
      <c r="X211" s="41">
        <f>ROUND($C$44*$D$44*(1+$E$44)^1*1.21/12,0)</f>
      </c>
      <c r="Y211" s="41">
        <f>ROUND($C$44*$D$44*(1+$E$44)^1*1.21/12,0)</f>
      </c>
      <c r="Z211" s="41">
        <f>ROUND($C$44*$D$44*(1+$E$44)^1*1.21/12,0)</f>
      </c>
      <c r="AA211" s="41">
        <f>ROUND($C$44*$D$44*(1+$E$44)^1*1.21/12,0)</f>
      </c>
      <c r="AB211" s="41">
        <f>ROUND($C$44*$D$44*(1+$E$44)^1*1.21/12,0)</f>
      </c>
      <c r="AC211" s="42">
        <f>SUM(Q211:AB211)</f>
      </c>
      <c r="AD211" s="41">
        <f>ROUND($C$44*$D$44*(1+$E$44)^2*1.21/12,0)</f>
      </c>
      <c r="AE211" s="41">
        <f>ROUND($C$44*$D$44*(1+$E$44)^2*1.21/12,0)</f>
      </c>
      <c r="AF211" s="41">
        <f>ROUND($C$44*$D$44*(1+$E$44)^2*1.21/12,0)</f>
      </c>
      <c r="AG211" s="41">
        <f>ROUND($C$44*$D$44*(1+$E$44)^2*1.21/12,0)</f>
      </c>
      <c r="AH211" s="41">
        <f>ROUND($C$44*$D$44*(1+$E$44)^2*1.21/12,0)</f>
      </c>
      <c r="AI211" s="41">
        <f>ROUND($C$44*$D$44*(1+$E$44)^2*1.21/12,0)</f>
      </c>
      <c r="AJ211" s="41">
        <f>ROUND($C$44*$D$44*(1+$E$44)^2*1.21/12,0)</f>
      </c>
      <c r="AK211" s="41">
        <f>ROUND($C$44*$D$44*(1+$E$44)^2*1.21/12,0)</f>
      </c>
      <c r="AL211" s="41">
        <f>ROUND($C$44*$D$44*(1+$E$44)^2*1.21/12,0)</f>
      </c>
      <c r="AM211" s="41">
        <f>ROUND($C$44*$D$44*(1+$E$44)^2*1.21/12,0)</f>
      </c>
      <c r="AN211" s="41">
        <f>ROUND($C$44*$D$44*(1+$E$44)^2*1.21/12,0)</f>
      </c>
      <c r="AO211" s="41">
        <f>ROUND($C$44*$D$44*(1+$E$44)^2*1.21/12,0)</f>
      </c>
      <c r="AP211" s="42">
        <f>SUM(AD211:AO211)</f>
      </c>
    </row>
    <row r="212" hidden="1" spans="2:42" x14ac:dyDescent="0.25" outlineLevel="1" collapsed="1">
      <c r="B212" s="19" t="s">
        <v>116</v>
      </c>
      <c r="C212" s="40">
        <f>E45</f>
      </c>
      <c r="D212" s="41">
        <f>ROUND($C$45*$D$45*(1+$E$45)^0*1.21/12,0)</f>
      </c>
      <c r="E212" s="41">
        <f>ROUND($C$45*$D$45*(1+$E$45)^0*1.21/12,0)</f>
      </c>
      <c r="F212" s="41">
        <f>ROUND($C$45*$D$45*(1+$E$45)^0*1.21/12,0)</f>
      </c>
      <c r="G212" s="41">
        <f>ROUND($C$45*$D$45*(1+$E$45)^0*1.21/12,0)</f>
      </c>
      <c r="H212" s="41">
        <f>ROUND($C$45*$D$45*(1+$E$45)^0*1.21/12,0)</f>
      </c>
      <c r="I212" s="41">
        <f>ROUND($C$45*$D$45*(1+$E$45)^0*1.21/12,0)</f>
      </c>
      <c r="J212" s="41">
        <f>ROUND($C$45*$D$45*(1+$E$45)^0*1.21/12,0)</f>
      </c>
      <c r="K212" s="41">
        <f>ROUND($C$45*$D$45*(1+$E$45)^0*1.21/12,0)</f>
      </c>
      <c r="L212" s="41">
        <f>ROUND($C$45*$D$45*(1+$E$45)^0*1.21/12,0)</f>
      </c>
      <c r="M212" s="41">
        <f>ROUND($C$45*$D$45*(1+$E$45)^0*1.21/12,0)</f>
      </c>
      <c r="N212" s="41">
        <f>ROUND($C$45*$D$45*(1+$E$45)^0*1.21/12,0)</f>
      </c>
      <c r="O212" s="41">
        <f>ROUND($C$45*$D$45*(1+$E$45)^0*1.21/12,0)</f>
      </c>
      <c r="P212" s="42">
        <f>SUM(D212:O212)</f>
      </c>
      <c r="Q212" s="41">
        <f>ROUND($C$45*$D$45*(1+$E$45)^1*1.21/12,0)</f>
      </c>
      <c r="R212" s="41">
        <f>ROUND($C$45*$D$45*(1+$E$45)^1*1.21/12,0)</f>
      </c>
      <c r="S212" s="41">
        <f>ROUND($C$45*$D$45*(1+$E$45)^1*1.21/12,0)</f>
      </c>
      <c r="T212" s="41">
        <f>ROUND($C$45*$D$45*(1+$E$45)^1*1.21/12,0)</f>
      </c>
      <c r="U212" s="41">
        <f>ROUND($C$45*$D$45*(1+$E$45)^1*1.21/12,0)</f>
      </c>
      <c r="V212" s="41">
        <f>ROUND($C$45*$D$45*(1+$E$45)^1*1.21/12,0)</f>
      </c>
      <c r="W212" s="41">
        <f>ROUND($C$45*$D$45*(1+$E$45)^1*1.21/12,0)</f>
      </c>
      <c r="X212" s="41">
        <f>ROUND($C$45*$D$45*(1+$E$45)^1*1.21/12,0)</f>
      </c>
      <c r="Y212" s="41">
        <f>ROUND($C$45*$D$45*(1+$E$45)^1*1.21/12,0)</f>
      </c>
      <c r="Z212" s="41">
        <f>ROUND($C$45*$D$45*(1+$E$45)^1*1.21/12,0)</f>
      </c>
      <c r="AA212" s="41">
        <f>ROUND($C$45*$D$45*(1+$E$45)^1*1.21/12,0)</f>
      </c>
      <c r="AB212" s="41">
        <f>ROUND($C$45*$D$45*(1+$E$45)^1*1.21/12,0)</f>
      </c>
      <c r="AC212" s="42">
        <f>SUM(Q212:AB212)</f>
      </c>
      <c r="AD212" s="41">
        <f>ROUND($C$45*$D$45*(1+$E$45)^2*1.21/12,0)</f>
      </c>
      <c r="AE212" s="41">
        <f>ROUND($C$45*$D$45*(1+$E$45)^2*1.21/12,0)</f>
      </c>
      <c r="AF212" s="41">
        <f>ROUND($C$45*$D$45*(1+$E$45)^2*1.21/12,0)</f>
      </c>
      <c r="AG212" s="41">
        <f>ROUND($C$45*$D$45*(1+$E$45)^2*1.21/12,0)</f>
      </c>
      <c r="AH212" s="41">
        <f>ROUND($C$45*$D$45*(1+$E$45)^2*1.21/12,0)</f>
      </c>
      <c r="AI212" s="41">
        <f>ROUND($C$45*$D$45*(1+$E$45)^2*1.21/12,0)</f>
      </c>
      <c r="AJ212" s="41">
        <f>ROUND($C$45*$D$45*(1+$E$45)^2*1.21/12,0)</f>
      </c>
      <c r="AK212" s="41">
        <f>ROUND($C$45*$D$45*(1+$E$45)^2*1.21/12,0)</f>
      </c>
      <c r="AL212" s="41">
        <f>ROUND($C$45*$D$45*(1+$E$45)^2*1.21/12,0)</f>
      </c>
      <c r="AM212" s="41">
        <f>ROUND($C$45*$D$45*(1+$E$45)^2*1.21/12,0)</f>
      </c>
      <c r="AN212" s="41">
        <f>ROUND($C$45*$D$45*(1+$E$45)^2*1.21/12,0)</f>
      </c>
      <c r="AO212" s="41">
        <f>ROUND($C$45*$D$45*(1+$E$45)^2*1.21/12,0)</f>
      </c>
      <c r="AP212" s="42">
        <f>SUM(AD212:AO212)</f>
      </c>
    </row>
    <row r="213" hidden="1" spans="2:42" x14ac:dyDescent="0.25" outlineLevel="1" collapsed="1">
      <c r="B213" s="19" t="s">
        <v>117</v>
      </c>
      <c r="C213" s="40">
        <f>E46</f>
      </c>
      <c r="D213" s="41">
        <f>ROUND($C$46*$D$46*(1+$E$46)^0*1.21/12,0)</f>
      </c>
      <c r="E213" s="41">
        <f>ROUND($C$46*$D$46*(1+$E$46)^0*1.21/12,0)</f>
      </c>
      <c r="F213" s="41">
        <f>ROUND($C$46*$D$46*(1+$E$46)^0*1.21/12,0)</f>
      </c>
      <c r="G213" s="41">
        <f>ROUND($C$46*$D$46*(1+$E$46)^0*1.21/12,0)</f>
      </c>
      <c r="H213" s="41">
        <f>ROUND($C$46*$D$46*(1+$E$46)^0*1.21/12,0)</f>
      </c>
      <c r="I213" s="41">
        <f>ROUND($C$46*$D$46*(1+$E$46)^0*1.21/12,0)</f>
      </c>
      <c r="J213" s="41">
        <f>ROUND($C$46*$D$46*(1+$E$46)^0*1.21/12,0)</f>
      </c>
      <c r="K213" s="41">
        <f>ROUND($C$46*$D$46*(1+$E$46)^0*1.21/12,0)</f>
      </c>
      <c r="L213" s="41">
        <f>ROUND($C$46*$D$46*(1+$E$46)^0*1.21/12,0)</f>
      </c>
      <c r="M213" s="41">
        <f>ROUND($C$46*$D$46*(1+$E$46)^0*1.21/12,0)</f>
      </c>
      <c r="N213" s="41">
        <f>ROUND($C$46*$D$46*(1+$E$46)^0*1.21/12,0)</f>
      </c>
      <c r="O213" s="41">
        <f>ROUND($C$46*$D$46*(1+$E$46)^0*1.21/12,0)</f>
      </c>
      <c r="P213" s="42">
        <f>SUM(D213:O213)</f>
      </c>
      <c r="Q213" s="41">
        <f>ROUND($C$46*$D$46*(1+$E$46)^1*1.21/12,0)</f>
      </c>
      <c r="R213" s="41">
        <f>ROUND($C$46*$D$46*(1+$E$46)^1*1.21/12,0)</f>
      </c>
      <c r="S213" s="41">
        <f>ROUND($C$46*$D$46*(1+$E$46)^1*1.21/12,0)</f>
      </c>
      <c r="T213" s="41">
        <f>ROUND($C$46*$D$46*(1+$E$46)^1*1.21/12,0)</f>
      </c>
      <c r="U213" s="41">
        <f>ROUND($C$46*$D$46*(1+$E$46)^1*1.21/12,0)</f>
      </c>
      <c r="V213" s="41">
        <f>ROUND($C$46*$D$46*(1+$E$46)^1*1.21/12,0)</f>
      </c>
      <c r="W213" s="41">
        <f>ROUND($C$46*$D$46*(1+$E$46)^1*1.21/12,0)</f>
      </c>
      <c r="X213" s="41">
        <f>ROUND($C$46*$D$46*(1+$E$46)^1*1.21/12,0)</f>
      </c>
      <c r="Y213" s="41">
        <f>ROUND($C$46*$D$46*(1+$E$46)^1*1.21/12,0)</f>
      </c>
      <c r="Z213" s="41">
        <f>ROUND($C$46*$D$46*(1+$E$46)^1*1.21/12,0)</f>
      </c>
      <c r="AA213" s="41">
        <f>ROUND($C$46*$D$46*(1+$E$46)^1*1.21/12,0)</f>
      </c>
      <c r="AB213" s="41">
        <f>ROUND($C$46*$D$46*(1+$E$46)^1*1.21/12,0)</f>
      </c>
      <c r="AC213" s="42">
        <f>SUM(Q213:AB213)</f>
      </c>
      <c r="AD213" s="41">
        <f>ROUND($C$46*$D$46*(1+$E$46)^2*1.21/12,0)</f>
      </c>
      <c r="AE213" s="41">
        <f>ROUND($C$46*$D$46*(1+$E$46)^2*1.21/12,0)</f>
      </c>
      <c r="AF213" s="41">
        <f>ROUND($C$46*$D$46*(1+$E$46)^2*1.21/12,0)</f>
      </c>
      <c r="AG213" s="41">
        <f>ROUND($C$46*$D$46*(1+$E$46)^2*1.21/12,0)</f>
      </c>
      <c r="AH213" s="41">
        <f>ROUND($C$46*$D$46*(1+$E$46)^2*1.21/12,0)</f>
      </c>
      <c r="AI213" s="41">
        <f>ROUND($C$46*$D$46*(1+$E$46)^2*1.21/12,0)</f>
      </c>
      <c r="AJ213" s="41">
        <f>ROUND($C$46*$D$46*(1+$E$46)^2*1.21/12,0)</f>
      </c>
      <c r="AK213" s="41">
        <f>ROUND($C$46*$D$46*(1+$E$46)^2*1.21/12,0)</f>
      </c>
      <c r="AL213" s="41">
        <f>ROUND($C$46*$D$46*(1+$E$46)^2*1.21/12,0)</f>
      </c>
      <c r="AM213" s="41">
        <f>ROUND($C$46*$D$46*(1+$E$46)^2*1.21/12,0)</f>
      </c>
      <c r="AN213" s="41">
        <f>ROUND($C$46*$D$46*(1+$E$46)^2*1.21/12,0)</f>
      </c>
      <c r="AO213" s="41">
        <f>ROUND($C$46*$D$46*(1+$E$46)^2*1.21/12,0)</f>
      </c>
      <c r="AP213" s="42">
        <f>SUM(AD213:AO213)</f>
      </c>
    </row>
    <row r="214" hidden="1" spans="2:42" x14ac:dyDescent="0.25" outlineLevel="1" collapsed="1">
      <c r="B214" s="19" t="s">
        <v>118</v>
      </c>
      <c r="C214" s="40">
        <f>E47</f>
      </c>
      <c r="D214" s="41">
        <f>ROUND($C$47*$D$47*(1+$E$47)^0*1.21/12,0)</f>
      </c>
      <c r="E214" s="41">
        <f>ROUND($C$47*$D$47*(1+$E$47)^0*1.21/12,0)</f>
      </c>
      <c r="F214" s="41">
        <f>ROUND($C$47*$D$47*(1+$E$47)^0*1.21/12,0)</f>
      </c>
      <c r="G214" s="41">
        <f>ROUND($C$47*$D$47*(1+$E$47)^0*1.21/12,0)</f>
      </c>
      <c r="H214" s="41">
        <f>ROUND($C$47*$D$47*(1+$E$47)^0*1.21/12,0)</f>
      </c>
      <c r="I214" s="41">
        <f>ROUND($C$47*$D$47*(1+$E$47)^0*1.21/12,0)</f>
      </c>
      <c r="J214" s="41">
        <f>ROUND($C$47*$D$47*(1+$E$47)^0*1.21/12,0)</f>
      </c>
      <c r="K214" s="41">
        <f>ROUND($C$47*$D$47*(1+$E$47)^0*1.21/12,0)</f>
      </c>
      <c r="L214" s="41">
        <f>ROUND($C$47*$D$47*(1+$E$47)^0*1.21/12,0)</f>
      </c>
      <c r="M214" s="41">
        <f>ROUND($C$47*$D$47*(1+$E$47)^0*1.21/12,0)</f>
      </c>
      <c r="N214" s="41">
        <f>ROUND($C$47*$D$47*(1+$E$47)^0*1.21/12,0)</f>
      </c>
      <c r="O214" s="41">
        <f>ROUND($C$47*$D$47*(1+$E$47)^0*1.21/12,0)</f>
      </c>
      <c r="P214" s="42">
        <f>SUM(D214:O214)</f>
      </c>
      <c r="Q214" s="41">
        <f>ROUND($C$47*$D$47*(1+$E$47)^1*1.21/12,0)</f>
      </c>
      <c r="R214" s="41">
        <f>ROUND($C$47*$D$47*(1+$E$47)^1*1.21/12,0)</f>
      </c>
      <c r="S214" s="41">
        <f>ROUND($C$47*$D$47*(1+$E$47)^1*1.21/12,0)</f>
      </c>
      <c r="T214" s="41">
        <f>ROUND($C$47*$D$47*(1+$E$47)^1*1.21/12,0)</f>
      </c>
      <c r="U214" s="41">
        <f>ROUND($C$47*$D$47*(1+$E$47)^1*1.21/12,0)</f>
      </c>
      <c r="V214" s="41">
        <f>ROUND($C$47*$D$47*(1+$E$47)^1*1.21/12,0)</f>
      </c>
      <c r="W214" s="41">
        <f>ROUND($C$47*$D$47*(1+$E$47)^1*1.21/12,0)</f>
      </c>
      <c r="X214" s="41">
        <f>ROUND($C$47*$D$47*(1+$E$47)^1*1.21/12,0)</f>
      </c>
      <c r="Y214" s="41">
        <f>ROUND($C$47*$D$47*(1+$E$47)^1*1.21/12,0)</f>
      </c>
      <c r="Z214" s="41">
        <f>ROUND($C$47*$D$47*(1+$E$47)^1*1.21/12,0)</f>
      </c>
      <c r="AA214" s="41">
        <f>ROUND($C$47*$D$47*(1+$E$47)^1*1.21/12,0)</f>
      </c>
      <c r="AB214" s="41">
        <f>ROUND($C$47*$D$47*(1+$E$47)^1*1.21/12,0)</f>
      </c>
      <c r="AC214" s="42">
        <f>SUM(Q214:AB214)</f>
      </c>
      <c r="AD214" s="41">
        <f>ROUND($C$47*$D$47*(1+$E$47)^2*1.21/12,0)</f>
      </c>
      <c r="AE214" s="41">
        <f>ROUND($C$47*$D$47*(1+$E$47)^2*1.21/12,0)</f>
      </c>
      <c r="AF214" s="41">
        <f>ROUND($C$47*$D$47*(1+$E$47)^2*1.21/12,0)</f>
      </c>
      <c r="AG214" s="41">
        <f>ROUND($C$47*$D$47*(1+$E$47)^2*1.21/12,0)</f>
      </c>
      <c r="AH214" s="41">
        <f>ROUND($C$47*$D$47*(1+$E$47)^2*1.21/12,0)</f>
      </c>
      <c r="AI214" s="41">
        <f>ROUND($C$47*$D$47*(1+$E$47)^2*1.21/12,0)</f>
      </c>
      <c r="AJ214" s="41">
        <f>ROUND($C$47*$D$47*(1+$E$47)^2*1.21/12,0)</f>
      </c>
      <c r="AK214" s="41">
        <f>ROUND($C$47*$D$47*(1+$E$47)^2*1.21/12,0)</f>
      </c>
      <c r="AL214" s="41">
        <f>ROUND($C$47*$D$47*(1+$E$47)^2*1.21/12,0)</f>
      </c>
      <c r="AM214" s="41">
        <f>ROUND($C$47*$D$47*(1+$E$47)^2*1.21/12,0)</f>
      </c>
      <c r="AN214" s="41">
        <f>ROUND($C$47*$D$47*(1+$E$47)^2*1.21/12,0)</f>
      </c>
      <c r="AO214" s="41">
        <f>ROUND($C$47*$D$47*(1+$E$47)^2*1.21/12,0)</f>
      </c>
      <c r="AP214" s="42">
        <f>SUM(AD214:AO214)</f>
      </c>
    </row>
    <row r="215" hidden="1" spans="2:42" x14ac:dyDescent="0.25" outlineLevel="1" collapsed="1">
      <c r="B215" s="19" t="s">
        <v>119</v>
      </c>
      <c r="C215" s="40">
        <f>E48</f>
      </c>
      <c r="D215" s="41">
        <f>ROUND($C$48*$D$48*(1+$E$48)^0*1.21/12,0)</f>
      </c>
      <c r="E215" s="41">
        <f>ROUND($C$48*$D$48*(1+$E$48)^0*1.21/12,0)</f>
      </c>
      <c r="F215" s="41">
        <f>ROUND($C$48*$D$48*(1+$E$48)^0*1.21/12,0)</f>
      </c>
      <c r="G215" s="41">
        <f>ROUND($C$48*$D$48*(1+$E$48)^0*1.21/12,0)</f>
      </c>
      <c r="H215" s="41">
        <f>ROUND($C$48*$D$48*(1+$E$48)^0*1.21/12,0)</f>
      </c>
      <c r="I215" s="41">
        <f>ROUND($C$48*$D$48*(1+$E$48)^0*1.21/12,0)</f>
      </c>
      <c r="J215" s="41">
        <f>ROUND($C$48*$D$48*(1+$E$48)^0*1.21/12,0)</f>
      </c>
      <c r="K215" s="41">
        <f>ROUND($C$48*$D$48*(1+$E$48)^0*1.21/12,0)</f>
      </c>
      <c r="L215" s="41">
        <f>ROUND($C$48*$D$48*(1+$E$48)^0*1.21/12,0)</f>
      </c>
      <c r="M215" s="41">
        <f>ROUND($C$48*$D$48*(1+$E$48)^0*1.21/12,0)</f>
      </c>
      <c r="N215" s="41">
        <f>ROUND($C$48*$D$48*(1+$E$48)^0*1.21/12,0)</f>
      </c>
      <c r="O215" s="41">
        <f>ROUND($C$48*$D$48*(1+$E$48)^0*1.21/12,0)</f>
      </c>
      <c r="P215" s="42">
        <f>SUM(D215:O215)</f>
      </c>
      <c r="Q215" s="41">
        <f>ROUND($C$48*$D$48*(1+$E$48)^1*1.21/12,0)</f>
      </c>
      <c r="R215" s="41">
        <f>ROUND($C$48*$D$48*(1+$E$48)^1*1.21/12,0)</f>
      </c>
      <c r="S215" s="41">
        <f>ROUND($C$48*$D$48*(1+$E$48)^1*1.21/12,0)</f>
      </c>
      <c r="T215" s="41">
        <f>ROUND($C$48*$D$48*(1+$E$48)^1*1.21/12,0)</f>
      </c>
      <c r="U215" s="41">
        <f>ROUND($C$48*$D$48*(1+$E$48)^1*1.21/12,0)</f>
      </c>
      <c r="V215" s="41">
        <f>ROUND($C$48*$D$48*(1+$E$48)^1*1.21/12,0)</f>
      </c>
      <c r="W215" s="41">
        <f>ROUND($C$48*$D$48*(1+$E$48)^1*1.21/12,0)</f>
      </c>
      <c r="X215" s="41">
        <f>ROUND($C$48*$D$48*(1+$E$48)^1*1.21/12,0)</f>
      </c>
      <c r="Y215" s="41">
        <f>ROUND($C$48*$D$48*(1+$E$48)^1*1.21/12,0)</f>
      </c>
      <c r="Z215" s="41">
        <f>ROUND($C$48*$D$48*(1+$E$48)^1*1.21/12,0)</f>
      </c>
      <c r="AA215" s="41">
        <f>ROUND($C$48*$D$48*(1+$E$48)^1*1.21/12,0)</f>
      </c>
      <c r="AB215" s="41">
        <f>ROUND($C$48*$D$48*(1+$E$48)^1*1.21/12,0)</f>
      </c>
      <c r="AC215" s="42">
        <f>SUM(Q215:AB215)</f>
      </c>
      <c r="AD215" s="41">
        <f>ROUND($C$48*$D$48*(1+$E$48)^2*1.21/12,0)</f>
      </c>
      <c r="AE215" s="41">
        <f>ROUND($C$48*$D$48*(1+$E$48)^2*1.21/12,0)</f>
      </c>
      <c r="AF215" s="41">
        <f>ROUND($C$48*$D$48*(1+$E$48)^2*1.21/12,0)</f>
      </c>
      <c r="AG215" s="41">
        <f>ROUND($C$48*$D$48*(1+$E$48)^2*1.21/12,0)</f>
      </c>
      <c r="AH215" s="41">
        <f>ROUND($C$48*$D$48*(1+$E$48)^2*1.21/12,0)</f>
      </c>
      <c r="AI215" s="41">
        <f>ROUND($C$48*$D$48*(1+$E$48)^2*1.21/12,0)</f>
      </c>
      <c r="AJ215" s="41">
        <f>ROUND($C$48*$D$48*(1+$E$48)^2*1.21/12,0)</f>
      </c>
      <c r="AK215" s="41">
        <f>ROUND($C$48*$D$48*(1+$E$48)^2*1.21/12,0)</f>
      </c>
      <c r="AL215" s="41">
        <f>ROUND($C$48*$D$48*(1+$E$48)^2*1.21/12,0)</f>
      </c>
      <c r="AM215" s="41">
        <f>ROUND($C$48*$D$48*(1+$E$48)^2*1.21/12,0)</f>
      </c>
      <c r="AN215" s="41">
        <f>ROUND($C$48*$D$48*(1+$E$48)^2*1.21/12,0)</f>
      </c>
      <c r="AO215" s="41">
        <f>ROUND($C$48*$D$48*(1+$E$48)^2*1.21/12,0)</f>
      </c>
      <c r="AP215" s="42">
        <f>SUM(AD215:AO215)</f>
      </c>
    </row>
    <row r="216" hidden="1" spans="2:42" x14ac:dyDescent="0.25" outlineLevel="1" collapsed="1">
      <c r="B216" s="19" t="s">
        <v>120</v>
      </c>
      <c r="C216" s="40">
        <f>E49</f>
      </c>
      <c r="D216" s="41">
        <f>ROUND($C$49*$D$49*(1+$E$49)^0*1.21/12,0)</f>
      </c>
      <c r="E216" s="41">
        <f>ROUND($C$49*$D$49*(1+$E$49)^0*1.21/12,0)</f>
      </c>
      <c r="F216" s="41">
        <f>ROUND($C$49*$D$49*(1+$E$49)^0*1.21/12,0)</f>
      </c>
      <c r="G216" s="41">
        <f>ROUND($C$49*$D$49*(1+$E$49)^0*1.21/12,0)</f>
      </c>
      <c r="H216" s="41">
        <f>ROUND($C$49*$D$49*(1+$E$49)^0*1.21/12,0)</f>
      </c>
      <c r="I216" s="41">
        <f>ROUND($C$49*$D$49*(1+$E$49)^0*1.21/12,0)</f>
      </c>
      <c r="J216" s="41">
        <f>ROUND($C$49*$D$49*(1+$E$49)^0*1.21/12,0)</f>
      </c>
      <c r="K216" s="41">
        <f>ROUND($C$49*$D$49*(1+$E$49)^0*1.21/12,0)</f>
      </c>
      <c r="L216" s="41">
        <f>ROUND($C$49*$D$49*(1+$E$49)^0*1.21/12,0)</f>
      </c>
      <c r="M216" s="41">
        <f>ROUND($C$49*$D$49*(1+$E$49)^0*1.21/12,0)</f>
      </c>
      <c r="N216" s="41">
        <f>ROUND($C$49*$D$49*(1+$E$49)^0*1.21/12,0)</f>
      </c>
      <c r="O216" s="41">
        <f>ROUND($C$49*$D$49*(1+$E$49)^0*1.21/12,0)</f>
      </c>
      <c r="P216" s="42">
        <f>SUM(D216:O216)</f>
      </c>
      <c r="Q216" s="41">
        <f>ROUND($C$49*$D$49*(1+$E$49)^1*1.21/12,0)</f>
      </c>
      <c r="R216" s="41">
        <f>ROUND($C$49*$D$49*(1+$E$49)^1*1.21/12,0)</f>
      </c>
      <c r="S216" s="41">
        <f>ROUND($C$49*$D$49*(1+$E$49)^1*1.21/12,0)</f>
      </c>
      <c r="T216" s="41">
        <f>ROUND($C$49*$D$49*(1+$E$49)^1*1.21/12,0)</f>
      </c>
      <c r="U216" s="41">
        <f>ROUND($C$49*$D$49*(1+$E$49)^1*1.21/12,0)</f>
      </c>
      <c r="V216" s="41">
        <f>ROUND($C$49*$D$49*(1+$E$49)^1*1.21/12,0)</f>
      </c>
      <c r="W216" s="41">
        <f>ROUND($C$49*$D$49*(1+$E$49)^1*1.21/12,0)</f>
      </c>
      <c r="X216" s="41">
        <f>ROUND($C$49*$D$49*(1+$E$49)^1*1.21/12,0)</f>
      </c>
      <c r="Y216" s="41">
        <f>ROUND($C$49*$D$49*(1+$E$49)^1*1.21/12,0)</f>
      </c>
      <c r="Z216" s="41">
        <f>ROUND($C$49*$D$49*(1+$E$49)^1*1.21/12,0)</f>
      </c>
      <c r="AA216" s="41">
        <f>ROUND($C$49*$D$49*(1+$E$49)^1*1.21/12,0)</f>
      </c>
      <c r="AB216" s="41">
        <f>ROUND($C$49*$D$49*(1+$E$49)^1*1.21/12,0)</f>
      </c>
      <c r="AC216" s="42">
        <f>SUM(Q216:AB216)</f>
      </c>
      <c r="AD216" s="41">
        <f>ROUND($C$49*$D$49*(1+$E$49)^2*1.21/12,0)</f>
      </c>
      <c r="AE216" s="41">
        <f>ROUND($C$49*$D$49*(1+$E$49)^2*1.21/12,0)</f>
      </c>
      <c r="AF216" s="41">
        <f>ROUND($C$49*$D$49*(1+$E$49)^2*1.21/12,0)</f>
      </c>
      <c r="AG216" s="41">
        <f>ROUND($C$49*$D$49*(1+$E$49)^2*1.21/12,0)</f>
      </c>
      <c r="AH216" s="41">
        <f>ROUND($C$49*$D$49*(1+$E$49)^2*1.21/12,0)</f>
      </c>
      <c r="AI216" s="41">
        <f>ROUND($C$49*$D$49*(1+$E$49)^2*1.21/12,0)</f>
      </c>
      <c r="AJ216" s="41">
        <f>ROUND($C$49*$D$49*(1+$E$49)^2*1.21/12,0)</f>
      </c>
      <c r="AK216" s="41">
        <f>ROUND($C$49*$D$49*(1+$E$49)^2*1.21/12,0)</f>
      </c>
      <c r="AL216" s="41">
        <f>ROUND($C$49*$D$49*(1+$E$49)^2*1.21/12,0)</f>
      </c>
      <c r="AM216" s="41">
        <f>ROUND($C$49*$D$49*(1+$E$49)^2*1.21/12,0)</f>
      </c>
      <c r="AN216" s="41">
        <f>ROUND($C$49*$D$49*(1+$E$49)^2*1.21/12,0)</f>
      </c>
      <c r="AO216" s="41">
        <f>ROUND($C$49*$D$49*(1+$E$49)^2*1.21/12,0)</f>
      </c>
      <c r="AP216" s="42">
        <f>SUM(AD216:AO216)</f>
      </c>
    </row>
    <row r="217" hidden="1" spans="2:42" x14ac:dyDescent="0.25" outlineLevel="1" collapsed="1">
      <c r="B217" s="44" t="s">
        <v>264</v>
      </c>
      <c r="C217" s="49"/>
      <c r="D217" s="46">
        <f>SUM(D209:D216)+IF(AND(DATE(2026,1,1)&gt;=DATE($E$54,$D$54,1),DATE(2026,1,1)&lt;=DATE($G$54,$F$54,1)),$C$54,0)+IF(AND(DATE(2026,1,1)&gt;=DATE($E$55,$D$55,1),DATE(2026,1,1)&lt;=DATE($G$55,$F$55,1)),$C$55,0)+IF(AND(DATE(2026,1,1)&gt;=DATE($E$56,$D$56,1),DATE(2026,1,1)&lt;=DATE($G$56,$F$56,1)),$C$56,0)+IF(AND(DATE(2026,1,1)&gt;=DATE($E$57,$D$57,1),DATE(2026,1,1)&lt;=DATE($G$57,$F$57,1)),$C$57,0)+IF(DATE(2026,1,1)&gt;=DATE($G$62,$F$62,1),ROUND(IF($C$62="Abbau",-1,1)*$D$62*$E$62*(1+0.04)^(0-($G$62-2026))*1.21/12,0),0)+IF(DATE(2026,1,1)&gt;=DATE($G$63,$F$63,1),ROUND(IF($C$63="Abbau",-1,1)*$D$63*$E$63*(1+0.05)^(0-($G$63-2026))*1.21/12,0),0)+IF(DATE(2026,1,1)&gt;=DATE($G$64,$F$64,1),ROUND(IF($C$64="Abbau",-1,1)*$D$64*$E$64*(1+0.03)^(0-($G$64-2026))*1.21/12,0),0)+IF(DATE(2026,1,1)&gt;=DATE($G$65,$F$65,1),ROUND(IF($C$65="Abbau",-1,1)*$D$65*$E$65*(1+0.02)^(0-($G$65-2026))*1.21/12,0),0)+IF(DATE(2026,1,1)&gt;=DATE($G$66,$F$66,1),ROUND(IF($C$66="Abbau",-1,1)*$D$66*$E$66*(1+0.02)^(0-($G$66-2026))*1.21/12,0),0)+IF(DATE(2026,1,1)&gt;=DATE($G$67,$F$67,1),ROUND(IF($C$67="Abbau",-1,1)*$D$67*$E$67*(1+0.04)^(0-($G$67-2026))*1.21/12,0),0)</f>
      </c>
      <c r="E217" s="46">
        <f>SUM(E209:E216)+IF(AND(DATE(2026,2,1)&gt;=DATE($E$54,$D$54,1),DATE(2026,2,1)&lt;=DATE($G$54,$F$54,1)),$C$54,0)+IF(AND(DATE(2026,2,1)&gt;=DATE($E$55,$D$55,1),DATE(2026,2,1)&lt;=DATE($G$55,$F$55,1)),$C$55,0)+IF(AND(DATE(2026,2,1)&gt;=DATE($E$56,$D$56,1),DATE(2026,2,1)&lt;=DATE($G$56,$F$56,1)),$C$56,0)+IF(AND(DATE(2026,2,1)&gt;=DATE($E$57,$D$57,1),DATE(2026,2,1)&lt;=DATE($G$57,$F$57,1)),$C$57,0)+IF(DATE(2026,2,1)&gt;=DATE($G$62,$F$62,1),ROUND(IF($C$62="Abbau",-1,1)*$D$62*$E$62*(1+0.04)^(0-($G$62-2026))*1.21/12,0),0)+IF(DATE(2026,2,1)&gt;=DATE($G$63,$F$63,1),ROUND(IF($C$63="Abbau",-1,1)*$D$63*$E$63*(1+0.05)^(0-($G$63-2026))*1.21/12,0),0)+IF(DATE(2026,2,1)&gt;=DATE($G$64,$F$64,1),ROUND(IF($C$64="Abbau",-1,1)*$D$64*$E$64*(1+0.03)^(0-($G$64-2026))*1.21/12,0),0)+IF(DATE(2026,2,1)&gt;=DATE($G$65,$F$65,1),ROUND(IF($C$65="Abbau",-1,1)*$D$65*$E$65*(1+0.02)^(0-($G$65-2026))*1.21/12,0),0)+IF(DATE(2026,2,1)&gt;=DATE($G$66,$F$66,1),ROUND(IF($C$66="Abbau",-1,1)*$D$66*$E$66*(1+0.02)^(0-($G$66-2026))*1.21/12,0),0)+IF(DATE(2026,2,1)&gt;=DATE($G$67,$F$67,1),ROUND(IF($C$67="Abbau",-1,1)*$D$67*$E$67*(1+0.04)^(0-($G$67-2026))*1.21/12,0),0)</f>
      </c>
      <c r="F217" s="46">
        <f>SUM(F209:F216)+IF(AND(DATE(2026,3,1)&gt;=DATE($E$54,$D$54,1),DATE(2026,3,1)&lt;=DATE($G$54,$F$54,1)),$C$54,0)+IF(AND(DATE(2026,3,1)&gt;=DATE($E$55,$D$55,1),DATE(2026,3,1)&lt;=DATE($G$55,$F$55,1)),$C$55,0)+IF(AND(DATE(2026,3,1)&gt;=DATE($E$56,$D$56,1),DATE(2026,3,1)&lt;=DATE($G$56,$F$56,1)),$C$56,0)+IF(AND(DATE(2026,3,1)&gt;=DATE($E$57,$D$57,1),DATE(2026,3,1)&lt;=DATE($G$57,$F$57,1)),$C$57,0)+IF(DATE(2026,3,1)&gt;=DATE($G$62,$F$62,1),ROUND(IF($C$62="Abbau",-1,1)*$D$62*$E$62*(1+0.04)^(0-($G$62-2026))*1.21/12,0),0)+IF(DATE(2026,3,1)&gt;=DATE($G$63,$F$63,1),ROUND(IF($C$63="Abbau",-1,1)*$D$63*$E$63*(1+0.05)^(0-($G$63-2026))*1.21/12,0),0)+IF(DATE(2026,3,1)&gt;=DATE($G$64,$F$64,1),ROUND(IF($C$64="Abbau",-1,1)*$D$64*$E$64*(1+0.03)^(0-($G$64-2026))*1.21/12,0),0)+IF(DATE(2026,3,1)&gt;=DATE($G$65,$F$65,1),ROUND(IF($C$65="Abbau",-1,1)*$D$65*$E$65*(1+0.02)^(0-($G$65-2026))*1.21/12,0),0)+IF(DATE(2026,3,1)&gt;=DATE($G$66,$F$66,1),ROUND(IF($C$66="Abbau",-1,1)*$D$66*$E$66*(1+0.02)^(0-($G$66-2026))*1.21/12,0),0)+IF(DATE(2026,3,1)&gt;=DATE($G$67,$F$67,1),ROUND(IF($C$67="Abbau",-1,1)*$D$67*$E$67*(1+0.04)^(0-($G$67-2026))*1.21/12,0),0)</f>
      </c>
      <c r="G217" s="46">
        <f>SUM(G209:G216)+IF(AND(DATE(2026,4,1)&gt;=DATE($E$54,$D$54,1),DATE(2026,4,1)&lt;=DATE($G$54,$F$54,1)),$C$54,0)+IF(AND(DATE(2026,4,1)&gt;=DATE($E$55,$D$55,1),DATE(2026,4,1)&lt;=DATE($G$55,$F$55,1)),$C$55,0)+IF(AND(DATE(2026,4,1)&gt;=DATE($E$56,$D$56,1),DATE(2026,4,1)&lt;=DATE($G$56,$F$56,1)),$C$56,0)+IF(AND(DATE(2026,4,1)&gt;=DATE($E$57,$D$57,1),DATE(2026,4,1)&lt;=DATE($G$57,$F$57,1)),$C$57,0)+IF(DATE(2026,4,1)&gt;=DATE($G$62,$F$62,1),ROUND(IF($C$62="Abbau",-1,1)*$D$62*$E$62*(1+0.04)^(0-($G$62-2026))*1.21/12,0),0)+IF(DATE(2026,4,1)&gt;=DATE($G$63,$F$63,1),ROUND(IF($C$63="Abbau",-1,1)*$D$63*$E$63*(1+0.05)^(0-($G$63-2026))*1.21/12,0),0)+IF(DATE(2026,4,1)&gt;=DATE($G$64,$F$64,1),ROUND(IF($C$64="Abbau",-1,1)*$D$64*$E$64*(1+0.03)^(0-($G$64-2026))*1.21/12,0),0)+IF(DATE(2026,4,1)&gt;=DATE($G$65,$F$65,1),ROUND(IF($C$65="Abbau",-1,1)*$D$65*$E$65*(1+0.02)^(0-($G$65-2026))*1.21/12,0),0)+IF(DATE(2026,4,1)&gt;=DATE($G$66,$F$66,1),ROUND(IF($C$66="Abbau",-1,1)*$D$66*$E$66*(1+0.02)^(0-($G$66-2026))*1.21/12,0),0)+IF(DATE(2026,4,1)&gt;=DATE($G$67,$F$67,1),ROUND(IF($C$67="Abbau",-1,1)*$D$67*$E$67*(1+0.04)^(0-($G$67-2026))*1.21/12,0),0)</f>
      </c>
      <c r="H217" s="46">
        <f>SUM(H209:H216)+IF(AND(DATE(2026,5,1)&gt;=DATE($E$54,$D$54,1),DATE(2026,5,1)&lt;=DATE($G$54,$F$54,1)),$C$54,0)+IF(AND(DATE(2026,5,1)&gt;=DATE($E$55,$D$55,1),DATE(2026,5,1)&lt;=DATE($G$55,$F$55,1)),$C$55,0)+IF(AND(DATE(2026,5,1)&gt;=DATE($E$56,$D$56,1),DATE(2026,5,1)&lt;=DATE($G$56,$F$56,1)),$C$56,0)+IF(AND(DATE(2026,5,1)&gt;=DATE($E$57,$D$57,1),DATE(2026,5,1)&lt;=DATE($G$57,$F$57,1)),$C$57,0)+IF(DATE(2026,5,1)&gt;=DATE($G$62,$F$62,1),ROUND(IF($C$62="Abbau",-1,1)*$D$62*$E$62*(1+0.04)^(0-($G$62-2026))*1.21/12,0),0)+IF(DATE(2026,5,1)&gt;=DATE($G$63,$F$63,1),ROUND(IF($C$63="Abbau",-1,1)*$D$63*$E$63*(1+0.05)^(0-($G$63-2026))*1.21/12,0),0)+IF(DATE(2026,5,1)&gt;=DATE($G$64,$F$64,1),ROUND(IF($C$64="Abbau",-1,1)*$D$64*$E$64*(1+0.03)^(0-($G$64-2026))*1.21/12,0),0)+IF(DATE(2026,5,1)&gt;=DATE($G$65,$F$65,1),ROUND(IF($C$65="Abbau",-1,1)*$D$65*$E$65*(1+0.02)^(0-($G$65-2026))*1.21/12,0),0)+IF(DATE(2026,5,1)&gt;=DATE($G$66,$F$66,1),ROUND(IF($C$66="Abbau",-1,1)*$D$66*$E$66*(1+0.02)^(0-($G$66-2026))*1.21/12,0),0)+IF(DATE(2026,5,1)&gt;=DATE($G$67,$F$67,1),ROUND(IF($C$67="Abbau",-1,1)*$D$67*$E$67*(1+0.04)^(0-($G$67-2026))*1.21/12,0),0)</f>
      </c>
      <c r="I217" s="46">
        <f>SUM(I209:I216)+IF(AND(DATE(2026,6,1)&gt;=DATE($E$54,$D$54,1),DATE(2026,6,1)&lt;=DATE($G$54,$F$54,1)),$C$54,0)+IF(AND(DATE(2026,6,1)&gt;=DATE($E$55,$D$55,1),DATE(2026,6,1)&lt;=DATE($G$55,$F$55,1)),$C$55,0)+IF(AND(DATE(2026,6,1)&gt;=DATE($E$56,$D$56,1),DATE(2026,6,1)&lt;=DATE($G$56,$F$56,1)),$C$56,0)+IF(AND(DATE(2026,6,1)&gt;=DATE($E$57,$D$57,1),DATE(2026,6,1)&lt;=DATE($G$57,$F$57,1)),$C$57,0)+IF(DATE(2026,6,1)&gt;=DATE($G$62,$F$62,1),ROUND(IF($C$62="Abbau",-1,1)*$D$62*$E$62*(1+0.04)^(0-($G$62-2026))*1.21/12,0),0)+IF(DATE(2026,6,1)&gt;=DATE($G$63,$F$63,1),ROUND(IF($C$63="Abbau",-1,1)*$D$63*$E$63*(1+0.05)^(0-($G$63-2026))*1.21/12,0),0)+IF(DATE(2026,6,1)&gt;=DATE($G$64,$F$64,1),ROUND(IF($C$64="Abbau",-1,1)*$D$64*$E$64*(1+0.03)^(0-($G$64-2026))*1.21/12,0),0)+IF(DATE(2026,6,1)&gt;=DATE($G$65,$F$65,1),ROUND(IF($C$65="Abbau",-1,1)*$D$65*$E$65*(1+0.02)^(0-($G$65-2026))*1.21/12,0),0)+IF(DATE(2026,6,1)&gt;=DATE($G$66,$F$66,1),ROUND(IF($C$66="Abbau",-1,1)*$D$66*$E$66*(1+0.02)^(0-($G$66-2026))*1.21/12,0),0)+IF(DATE(2026,6,1)&gt;=DATE($G$67,$F$67,1),ROUND(IF($C$67="Abbau",-1,1)*$D$67*$E$67*(1+0.04)^(0-($G$67-2026))*1.21/12,0),0)</f>
      </c>
      <c r="J217" s="46">
        <f>SUM(J209:J216)+IF(AND(DATE(2026,7,1)&gt;=DATE($E$54,$D$54,1),DATE(2026,7,1)&lt;=DATE($G$54,$F$54,1)),$C$54,0)+IF(AND(DATE(2026,7,1)&gt;=DATE($E$55,$D$55,1),DATE(2026,7,1)&lt;=DATE($G$55,$F$55,1)),$C$55,0)+IF(AND(DATE(2026,7,1)&gt;=DATE($E$56,$D$56,1),DATE(2026,7,1)&lt;=DATE($G$56,$F$56,1)),$C$56,0)+IF(AND(DATE(2026,7,1)&gt;=DATE($E$57,$D$57,1),DATE(2026,7,1)&lt;=DATE($G$57,$F$57,1)),$C$57,0)+IF(DATE(2026,7,1)&gt;=DATE($G$62,$F$62,1),ROUND(IF($C$62="Abbau",-1,1)*$D$62*$E$62*(1+0.04)^(0-($G$62-2026))*1.21/12,0),0)+IF(DATE(2026,7,1)&gt;=DATE($G$63,$F$63,1),ROUND(IF($C$63="Abbau",-1,1)*$D$63*$E$63*(1+0.05)^(0-($G$63-2026))*1.21/12,0),0)+IF(DATE(2026,7,1)&gt;=DATE($G$64,$F$64,1),ROUND(IF($C$64="Abbau",-1,1)*$D$64*$E$64*(1+0.03)^(0-($G$64-2026))*1.21/12,0),0)+IF(DATE(2026,7,1)&gt;=DATE($G$65,$F$65,1),ROUND(IF($C$65="Abbau",-1,1)*$D$65*$E$65*(1+0.02)^(0-($G$65-2026))*1.21/12,0),0)+IF(DATE(2026,7,1)&gt;=DATE($G$66,$F$66,1),ROUND(IF($C$66="Abbau",-1,1)*$D$66*$E$66*(1+0.02)^(0-($G$66-2026))*1.21/12,0),0)+IF(DATE(2026,7,1)&gt;=DATE($G$67,$F$67,1),ROUND(IF($C$67="Abbau",-1,1)*$D$67*$E$67*(1+0.04)^(0-($G$67-2026))*1.21/12,0),0)</f>
      </c>
      <c r="K217" s="46">
        <f>SUM(K209:K216)+IF(AND(DATE(2026,8,1)&gt;=DATE($E$54,$D$54,1),DATE(2026,8,1)&lt;=DATE($G$54,$F$54,1)),$C$54,0)+IF(AND(DATE(2026,8,1)&gt;=DATE($E$55,$D$55,1),DATE(2026,8,1)&lt;=DATE($G$55,$F$55,1)),$C$55,0)+IF(AND(DATE(2026,8,1)&gt;=DATE($E$56,$D$56,1),DATE(2026,8,1)&lt;=DATE($G$56,$F$56,1)),$C$56,0)+IF(AND(DATE(2026,8,1)&gt;=DATE($E$57,$D$57,1),DATE(2026,8,1)&lt;=DATE($G$57,$F$57,1)),$C$57,0)+IF(DATE(2026,8,1)&gt;=DATE($G$62,$F$62,1),ROUND(IF($C$62="Abbau",-1,1)*$D$62*$E$62*(1+0.04)^(0-($G$62-2026))*1.21/12,0),0)+IF(DATE(2026,8,1)&gt;=DATE($G$63,$F$63,1),ROUND(IF($C$63="Abbau",-1,1)*$D$63*$E$63*(1+0.05)^(0-($G$63-2026))*1.21/12,0),0)+IF(DATE(2026,8,1)&gt;=DATE($G$64,$F$64,1),ROUND(IF($C$64="Abbau",-1,1)*$D$64*$E$64*(1+0.03)^(0-($G$64-2026))*1.21/12,0),0)+IF(DATE(2026,8,1)&gt;=DATE($G$65,$F$65,1),ROUND(IF($C$65="Abbau",-1,1)*$D$65*$E$65*(1+0.02)^(0-($G$65-2026))*1.21/12,0),0)+IF(DATE(2026,8,1)&gt;=DATE($G$66,$F$66,1),ROUND(IF($C$66="Abbau",-1,1)*$D$66*$E$66*(1+0.02)^(0-($G$66-2026))*1.21/12,0),0)+IF(DATE(2026,8,1)&gt;=DATE($G$67,$F$67,1),ROUND(IF($C$67="Abbau",-1,1)*$D$67*$E$67*(1+0.04)^(0-($G$67-2026))*1.21/12,0),0)</f>
      </c>
      <c r="L217" s="46">
        <f>SUM(L209:L216)+IF(AND(DATE(2026,9,1)&gt;=DATE($E$54,$D$54,1),DATE(2026,9,1)&lt;=DATE($G$54,$F$54,1)),$C$54,0)+IF(AND(DATE(2026,9,1)&gt;=DATE($E$55,$D$55,1),DATE(2026,9,1)&lt;=DATE($G$55,$F$55,1)),$C$55,0)+IF(AND(DATE(2026,9,1)&gt;=DATE($E$56,$D$56,1),DATE(2026,9,1)&lt;=DATE($G$56,$F$56,1)),$C$56,0)+IF(AND(DATE(2026,9,1)&gt;=DATE($E$57,$D$57,1),DATE(2026,9,1)&lt;=DATE($G$57,$F$57,1)),$C$57,0)+IF(DATE(2026,9,1)&gt;=DATE($G$62,$F$62,1),ROUND(IF($C$62="Abbau",-1,1)*$D$62*$E$62*(1+0.04)^(0-($G$62-2026))*1.21/12,0),0)+IF(DATE(2026,9,1)&gt;=DATE($G$63,$F$63,1),ROUND(IF($C$63="Abbau",-1,1)*$D$63*$E$63*(1+0.05)^(0-($G$63-2026))*1.21/12,0),0)+IF(DATE(2026,9,1)&gt;=DATE($G$64,$F$64,1),ROUND(IF($C$64="Abbau",-1,1)*$D$64*$E$64*(1+0.03)^(0-($G$64-2026))*1.21/12,0),0)+IF(DATE(2026,9,1)&gt;=DATE($G$65,$F$65,1),ROUND(IF($C$65="Abbau",-1,1)*$D$65*$E$65*(1+0.02)^(0-($G$65-2026))*1.21/12,0),0)+IF(DATE(2026,9,1)&gt;=DATE($G$66,$F$66,1),ROUND(IF($C$66="Abbau",-1,1)*$D$66*$E$66*(1+0.02)^(0-($G$66-2026))*1.21/12,0),0)+IF(DATE(2026,9,1)&gt;=DATE($G$67,$F$67,1),ROUND(IF($C$67="Abbau",-1,1)*$D$67*$E$67*(1+0.04)^(0-($G$67-2026))*1.21/12,0),0)</f>
      </c>
      <c r="M217" s="46">
        <f>SUM(M209:M216)+IF(AND(DATE(2026,10,1)&gt;=DATE($E$54,$D$54,1),DATE(2026,10,1)&lt;=DATE($G$54,$F$54,1)),$C$54,0)+IF(AND(DATE(2026,10,1)&gt;=DATE($E$55,$D$55,1),DATE(2026,10,1)&lt;=DATE($G$55,$F$55,1)),$C$55,0)+IF(AND(DATE(2026,10,1)&gt;=DATE($E$56,$D$56,1),DATE(2026,10,1)&lt;=DATE($G$56,$F$56,1)),$C$56,0)+IF(AND(DATE(2026,10,1)&gt;=DATE($E$57,$D$57,1),DATE(2026,10,1)&lt;=DATE($G$57,$F$57,1)),$C$57,0)+IF(DATE(2026,10,1)&gt;=DATE($G$62,$F$62,1),ROUND(IF($C$62="Abbau",-1,1)*$D$62*$E$62*(1+0.04)^(0-($G$62-2026))*1.21/12,0),0)+IF(DATE(2026,10,1)&gt;=DATE($G$63,$F$63,1),ROUND(IF($C$63="Abbau",-1,1)*$D$63*$E$63*(1+0.05)^(0-($G$63-2026))*1.21/12,0),0)+IF(DATE(2026,10,1)&gt;=DATE($G$64,$F$64,1),ROUND(IF($C$64="Abbau",-1,1)*$D$64*$E$64*(1+0.03)^(0-($G$64-2026))*1.21/12,0),0)+IF(DATE(2026,10,1)&gt;=DATE($G$65,$F$65,1),ROUND(IF($C$65="Abbau",-1,1)*$D$65*$E$65*(1+0.02)^(0-($G$65-2026))*1.21/12,0),0)+IF(DATE(2026,10,1)&gt;=DATE($G$66,$F$66,1),ROUND(IF($C$66="Abbau",-1,1)*$D$66*$E$66*(1+0.02)^(0-($G$66-2026))*1.21/12,0),0)+IF(DATE(2026,10,1)&gt;=DATE($G$67,$F$67,1),ROUND(IF($C$67="Abbau",-1,1)*$D$67*$E$67*(1+0.04)^(0-($G$67-2026))*1.21/12,0),0)</f>
      </c>
      <c r="N217" s="46">
        <f>SUM(N209:N216)+IF(AND(DATE(2026,11,1)&gt;=DATE($E$54,$D$54,1),DATE(2026,11,1)&lt;=DATE($G$54,$F$54,1)),$C$54,0)+IF(AND(DATE(2026,11,1)&gt;=DATE($E$55,$D$55,1),DATE(2026,11,1)&lt;=DATE($G$55,$F$55,1)),$C$55,0)+IF(AND(DATE(2026,11,1)&gt;=DATE($E$56,$D$56,1),DATE(2026,11,1)&lt;=DATE($G$56,$F$56,1)),$C$56,0)+IF(AND(DATE(2026,11,1)&gt;=DATE($E$57,$D$57,1),DATE(2026,11,1)&lt;=DATE($G$57,$F$57,1)),$C$57,0)+IF(DATE(2026,11,1)&gt;=DATE($G$62,$F$62,1),ROUND(IF($C$62="Abbau",-1,1)*$D$62*$E$62*(1+0.04)^(0-($G$62-2026))*1.21/12,0),0)+IF(DATE(2026,11,1)&gt;=DATE($G$63,$F$63,1),ROUND(IF($C$63="Abbau",-1,1)*$D$63*$E$63*(1+0.05)^(0-($G$63-2026))*1.21/12,0),0)+IF(DATE(2026,11,1)&gt;=DATE($G$64,$F$64,1),ROUND(IF($C$64="Abbau",-1,1)*$D$64*$E$64*(1+0.03)^(0-($G$64-2026))*1.21/12,0),0)+IF(DATE(2026,11,1)&gt;=DATE($G$65,$F$65,1),ROUND(IF($C$65="Abbau",-1,1)*$D$65*$E$65*(1+0.02)^(0-($G$65-2026))*1.21/12,0),0)+IF(DATE(2026,11,1)&gt;=DATE($G$66,$F$66,1),ROUND(IF($C$66="Abbau",-1,1)*$D$66*$E$66*(1+0.02)^(0-($G$66-2026))*1.21/12,0),0)+IF(DATE(2026,11,1)&gt;=DATE($G$67,$F$67,1),ROUND(IF($C$67="Abbau",-1,1)*$D$67*$E$67*(1+0.04)^(0-($G$67-2026))*1.21/12,0),0)</f>
      </c>
      <c r="O217" s="46">
        <f>SUM(O209:O216)+IF(AND(DATE(2026,12,1)&gt;=DATE($E$54,$D$54,1),DATE(2026,12,1)&lt;=DATE($G$54,$F$54,1)),$C$54,0)+IF(AND(DATE(2026,12,1)&gt;=DATE($E$55,$D$55,1),DATE(2026,12,1)&lt;=DATE($G$55,$F$55,1)),$C$55,0)+IF(AND(DATE(2026,12,1)&gt;=DATE($E$56,$D$56,1),DATE(2026,12,1)&lt;=DATE($G$56,$F$56,1)),$C$56,0)+IF(AND(DATE(2026,12,1)&gt;=DATE($E$57,$D$57,1),DATE(2026,12,1)&lt;=DATE($G$57,$F$57,1)),$C$57,0)+IF(DATE(2026,12,1)&gt;=DATE($G$62,$F$62,1),ROUND(IF($C$62="Abbau",-1,1)*$D$62*$E$62*(1+0.04)^(0-($G$62-2026))*1.21/12,0),0)+IF(DATE(2026,12,1)&gt;=DATE($G$63,$F$63,1),ROUND(IF($C$63="Abbau",-1,1)*$D$63*$E$63*(1+0.05)^(0-($G$63-2026))*1.21/12,0),0)+IF(DATE(2026,12,1)&gt;=DATE($G$64,$F$64,1),ROUND(IF($C$64="Abbau",-1,1)*$D$64*$E$64*(1+0.03)^(0-($G$64-2026))*1.21/12,0),0)+IF(DATE(2026,12,1)&gt;=DATE($G$65,$F$65,1),ROUND(IF($C$65="Abbau",-1,1)*$D$65*$E$65*(1+0.02)^(0-($G$65-2026))*1.21/12,0),0)+IF(DATE(2026,12,1)&gt;=DATE($G$66,$F$66,1),ROUND(IF($C$66="Abbau",-1,1)*$D$66*$E$66*(1+0.02)^(0-($G$66-2026))*1.21/12,0),0)+IF(DATE(2026,12,1)&gt;=DATE($G$67,$F$67,1),ROUND(IF($C$67="Abbau",-1,1)*$D$67*$E$67*(1+0.04)^(0-($G$67-2026))*1.21/12,0),0)</f>
      </c>
      <c r="P217" s="47">
        <f>SUM(D217:O217)</f>
      </c>
      <c r="Q217" s="46">
        <f>SUM(Q209:Q216)+IF(AND(DATE(2027,1,1)&gt;=DATE($E$54,$D$54,1),DATE(2027,1,1)&lt;=DATE($G$54,$F$54,1)),$C$54,0)+IF(AND(DATE(2027,1,1)&gt;=DATE($E$55,$D$55,1),DATE(2027,1,1)&lt;=DATE($G$55,$F$55,1)),$C$55,0)+IF(AND(DATE(2027,1,1)&gt;=DATE($E$56,$D$56,1),DATE(2027,1,1)&lt;=DATE($G$56,$F$56,1)),$C$56,0)+IF(AND(DATE(2027,1,1)&gt;=DATE($E$57,$D$57,1),DATE(2027,1,1)&lt;=DATE($G$57,$F$57,1)),$C$57,0)+IF(DATE(2027,1,1)&gt;=DATE($G$62,$F$62,1),ROUND(IF($C$62="Abbau",-1,1)*$D$62*$E$62*(1+0.04)^(1-($G$62-2026))*1.21/12,0),0)+IF(DATE(2027,1,1)&gt;=DATE($G$63,$F$63,1),ROUND(IF($C$63="Abbau",-1,1)*$D$63*$E$63*(1+0.05)^(1-($G$63-2026))*1.21/12,0),0)+IF(DATE(2027,1,1)&gt;=DATE($G$64,$F$64,1),ROUND(IF($C$64="Abbau",-1,1)*$D$64*$E$64*(1+0.03)^(1-($G$64-2026))*1.21/12,0),0)+IF(DATE(2027,1,1)&gt;=DATE($G$65,$F$65,1),ROUND(IF($C$65="Abbau",-1,1)*$D$65*$E$65*(1+0.02)^(1-($G$65-2026))*1.21/12,0),0)+IF(DATE(2027,1,1)&gt;=DATE($G$66,$F$66,1),ROUND(IF($C$66="Abbau",-1,1)*$D$66*$E$66*(1+0.02)^(1-($G$66-2026))*1.21/12,0),0)+IF(DATE(2027,1,1)&gt;=DATE($G$67,$F$67,1),ROUND(IF($C$67="Abbau",-1,1)*$D$67*$E$67*(1+0.04)^(1-($G$67-2026))*1.21/12,0),0)</f>
      </c>
      <c r="R217" s="46">
        <f>SUM(R209:R216)+IF(AND(DATE(2027,2,1)&gt;=DATE($E$54,$D$54,1),DATE(2027,2,1)&lt;=DATE($G$54,$F$54,1)),$C$54,0)+IF(AND(DATE(2027,2,1)&gt;=DATE($E$55,$D$55,1),DATE(2027,2,1)&lt;=DATE($G$55,$F$55,1)),$C$55,0)+IF(AND(DATE(2027,2,1)&gt;=DATE($E$56,$D$56,1),DATE(2027,2,1)&lt;=DATE($G$56,$F$56,1)),$C$56,0)+IF(AND(DATE(2027,2,1)&gt;=DATE($E$57,$D$57,1),DATE(2027,2,1)&lt;=DATE($G$57,$F$57,1)),$C$57,0)+IF(DATE(2027,2,1)&gt;=DATE($G$62,$F$62,1),ROUND(IF($C$62="Abbau",-1,1)*$D$62*$E$62*(1+0.04)^(1-($G$62-2026))*1.21/12,0),0)+IF(DATE(2027,2,1)&gt;=DATE($G$63,$F$63,1),ROUND(IF($C$63="Abbau",-1,1)*$D$63*$E$63*(1+0.05)^(1-($G$63-2026))*1.21/12,0),0)+IF(DATE(2027,2,1)&gt;=DATE($G$64,$F$64,1),ROUND(IF($C$64="Abbau",-1,1)*$D$64*$E$64*(1+0.03)^(1-($G$64-2026))*1.21/12,0),0)+IF(DATE(2027,2,1)&gt;=DATE($G$65,$F$65,1),ROUND(IF($C$65="Abbau",-1,1)*$D$65*$E$65*(1+0.02)^(1-($G$65-2026))*1.21/12,0),0)+IF(DATE(2027,2,1)&gt;=DATE($G$66,$F$66,1),ROUND(IF($C$66="Abbau",-1,1)*$D$66*$E$66*(1+0.02)^(1-($G$66-2026))*1.21/12,0),0)+IF(DATE(2027,2,1)&gt;=DATE($G$67,$F$67,1),ROUND(IF($C$67="Abbau",-1,1)*$D$67*$E$67*(1+0.04)^(1-($G$67-2026))*1.21/12,0),0)</f>
      </c>
      <c r="S217" s="46">
        <f>SUM(S209:S216)+IF(AND(DATE(2027,3,1)&gt;=DATE($E$54,$D$54,1),DATE(2027,3,1)&lt;=DATE($G$54,$F$54,1)),$C$54,0)+IF(AND(DATE(2027,3,1)&gt;=DATE($E$55,$D$55,1),DATE(2027,3,1)&lt;=DATE($G$55,$F$55,1)),$C$55,0)+IF(AND(DATE(2027,3,1)&gt;=DATE($E$56,$D$56,1),DATE(2027,3,1)&lt;=DATE($G$56,$F$56,1)),$C$56,0)+IF(AND(DATE(2027,3,1)&gt;=DATE($E$57,$D$57,1),DATE(2027,3,1)&lt;=DATE($G$57,$F$57,1)),$C$57,0)+IF(DATE(2027,3,1)&gt;=DATE($G$62,$F$62,1),ROUND(IF($C$62="Abbau",-1,1)*$D$62*$E$62*(1+0.04)^(1-($G$62-2026))*1.21/12,0),0)+IF(DATE(2027,3,1)&gt;=DATE($G$63,$F$63,1),ROUND(IF($C$63="Abbau",-1,1)*$D$63*$E$63*(1+0.05)^(1-($G$63-2026))*1.21/12,0),0)+IF(DATE(2027,3,1)&gt;=DATE($G$64,$F$64,1),ROUND(IF($C$64="Abbau",-1,1)*$D$64*$E$64*(1+0.03)^(1-($G$64-2026))*1.21/12,0),0)+IF(DATE(2027,3,1)&gt;=DATE($G$65,$F$65,1),ROUND(IF($C$65="Abbau",-1,1)*$D$65*$E$65*(1+0.02)^(1-($G$65-2026))*1.21/12,0),0)+IF(DATE(2027,3,1)&gt;=DATE($G$66,$F$66,1),ROUND(IF($C$66="Abbau",-1,1)*$D$66*$E$66*(1+0.02)^(1-($G$66-2026))*1.21/12,0),0)+IF(DATE(2027,3,1)&gt;=DATE($G$67,$F$67,1),ROUND(IF($C$67="Abbau",-1,1)*$D$67*$E$67*(1+0.04)^(1-($G$67-2026))*1.21/12,0),0)</f>
      </c>
      <c r="T217" s="46">
        <f>SUM(T209:T216)+IF(AND(DATE(2027,4,1)&gt;=DATE($E$54,$D$54,1),DATE(2027,4,1)&lt;=DATE($G$54,$F$54,1)),$C$54,0)+IF(AND(DATE(2027,4,1)&gt;=DATE($E$55,$D$55,1),DATE(2027,4,1)&lt;=DATE($G$55,$F$55,1)),$C$55,0)+IF(AND(DATE(2027,4,1)&gt;=DATE($E$56,$D$56,1),DATE(2027,4,1)&lt;=DATE($G$56,$F$56,1)),$C$56,0)+IF(AND(DATE(2027,4,1)&gt;=DATE($E$57,$D$57,1),DATE(2027,4,1)&lt;=DATE($G$57,$F$57,1)),$C$57,0)+IF(DATE(2027,4,1)&gt;=DATE($G$62,$F$62,1),ROUND(IF($C$62="Abbau",-1,1)*$D$62*$E$62*(1+0.04)^(1-($G$62-2026))*1.21/12,0),0)+IF(DATE(2027,4,1)&gt;=DATE($G$63,$F$63,1),ROUND(IF($C$63="Abbau",-1,1)*$D$63*$E$63*(1+0.05)^(1-($G$63-2026))*1.21/12,0),0)+IF(DATE(2027,4,1)&gt;=DATE($G$64,$F$64,1),ROUND(IF($C$64="Abbau",-1,1)*$D$64*$E$64*(1+0.03)^(1-($G$64-2026))*1.21/12,0),0)+IF(DATE(2027,4,1)&gt;=DATE($G$65,$F$65,1),ROUND(IF($C$65="Abbau",-1,1)*$D$65*$E$65*(1+0.02)^(1-($G$65-2026))*1.21/12,0),0)+IF(DATE(2027,4,1)&gt;=DATE($G$66,$F$66,1),ROUND(IF($C$66="Abbau",-1,1)*$D$66*$E$66*(1+0.02)^(1-($G$66-2026))*1.21/12,0),0)+IF(DATE(2027,4,1)&gt;=DATE($G$67,$F$67,1),ROUND(IF($C$67="Abbau",-1,1)*$D$67*$E$67*(1+0.04)^(1-($G$67-2026))*1.21/12,0),0)</f>
      </c>
      <c r="U217" s="46">
        <f>SUM(U209:U216)+IF(AND(DATE(2027,5,1)&gt;=DATE($E$54,$D$54,1),DATE(2027,5,1)&lt;=DATE($G$54,$F$54,1)),$C$54,0)+IF(AND(DATE(2027,5,1)&gt;=DATE($E$55,$D$55,1),DATE(2027,5,1)&lt;=DATE($G$55,$F$55,1)),$C$55,0)+IF(AND(DATE(2027,5,1)&gt;=DATE($E$56,$D$56,1),DATE(2027,5,1)&lt;=DATE($G$56,$F$56,1)),$C$56,0)+IF(AND(DATE(2027,5,1)&gt;=DATE($E$57,$D$57,1),DATE(2027,5,1)&lt;=DATE($G$57,$F$57,1)),$C$57,0)+IF(DATE(2027,5,1)&gt;=DATE($G$62,$F$62,1),ROUND(IF($C$62="Abbau",-1,1)*$D$62*$E$62*(1+0.04)^(1-($G$62-2026))*1.21/12,0),0)+IF(DATE(2027,5,1)&gt;=DATE($G$63,$F$63,1),ROUND(IF($C$63="Abbau",-1,1)*$D$63*$E$63*(1+0.05)^(1-($G$63-2026))*1.21/12,0),0)+IF(DATE(2027,5,1)&gt;=DATE($G$64,$F$64,1),ROUND(IF($C$64="Abbau",-1,1)*$D$64*$E$64*(1+0.03)^(1-($G$64-2026))*1.21/12,0),0)+IF(DATE(2027,5,1)&gt;=DATE($G$65,$F$65,1),ROUND(IF($C$65="Abbau",-1,1)*$D$65*$E$65*(1+0.02)^(1-($G$65-2026))*1.21/12,0),0)+IF(DATE(2027,5,1)&gt;=DATE($G$66,$F$66,1),ROUND(IF($C$66="Abbau",-1,1)*$D$66*$E$66*(1+0.02)^(1-($G$66-2026))*1.21/12,0),0)+IF(DATE(2027,5,1)&gt;=DATE($G$67,$F$67,1),ROUND(IF($C$67="Abbau",-1,1)*$D$67*$E$67*(1+0.04)^(1-($G$67-2026))*1.21/12,0),0)</f>
      </c>
      <c r="V217" s="46">
        <f>SUM(V209:V216)+IF(AND(DATE(2027,6,1)&gt;=DATE($E$54,$D$54,1),DATE(2027,6,1)&lt;=DATE($G$54,$F$54,1)),$C$54,0)+IF(AND(DATE(2027,6,1)&gt;=DATE($E$55,$D$55,1),DATE(2027,6,1)&lt;=DATE($G$55,$F$55,1)),$C$55,0)+IF(AND(DATE(2027,6,1)&gt;=DATE($E$56,$D$56,1),DATE(2027,6,1)&lt;=DATE($G$56,$F$56,1)),$C$56,0)+IF(AND(DATE(2027,6,1)&gt;=DATE($E$57,$D$57,1),DATE(2027,6,1)&lt;=DATE($G$57,$F$57,1)),$C$57,0)+IF(DATE(2027,6,1)&gt;=DATE($G$62,$F$62,1),ROUND(IF($C$62="Abbau",-1,1)*$D$62*$E$62*(1+0.04)^(1-($G$62-2026))*1.21/12,0),0)+IF(DATE(2027,6,1)&gt;=DATE($G$63,$F$63,1),ROUND(IF($C$63="Abbau",-1,1)*$D$63*$E$63*(1+0.05)^(1-($G$63-2026))*1.21/12,0),0)+IF(DATE(2027,6,1)&gt;=DATE($G$64,$F$64,1),ROUND(IF($C$64="Abbau",-1,1)*$D$64*$E$64*(1+0.03)^(1-($G$64-2026))*1.21/12,0),0)+IF(DATE(2027,6,1)&gt;=DATE($G$65,$F$65,1),ROUND(IF($C$65="Abbau",-1,1)*$D$65*$E$65*(1+0.02)^(1-($G$65-2026))*1.21/12,0),0)+IF(DATE(2027,6,1)&gt;=DATE($G$66,$F$66,1),ROUND(IF($C$66="Abbau",-1,1)*$D$66*$E$66*(1+0.02)^(1-($G$66-2026))*1.21/12,0),0)+IF(DATE(2027,6,1)&gt;=DATE($G$67,$F$67,1),ROUND(IF($C$67="Abbau",-1,1)*$D$67*$E$67*(1+0.04)^(1-($G$67-2026))*1.21/12,0),0)</f>
      </c>
      <c r="W217" s="46">
        <f>SUM(W209:W216)+IF(AND(DATE(2027,7,1)&gt;=DATE($E$54,$D$54,1),DATE(2027,7,1)&lt;=DATE($G$54,$F$54,1)),$C$54,0)+IF(AND(DATE(2027,7,1)&gt;=DATE($E$55,$D$55,1),DATE(2027,7,1)&lt;=DATE($G$55,$F$55,1)),$C$55,0)+IF(AND(DATE(2027,7,1)&gt;=DATE($E$56,$D$56,1),DATE(2027,7,1)&lt;=DATE($G$56,$F$56,1)),$C$56,0)+IF(AND(DATE(2027,7,1)&gt;=DATE($E$57,$D$57,1),DATE(2027,7,1)&lt;=DATE($G$57,$F$57,1)),$C$57,0)+IF(DATE(2027,7,1)&gt;=DATE($G$62,$F$62,1),ROUND(IF($C$62="Abbau",-1,1)*$D$62*$E$62*(1+0.04)^(1-($G$62-2026))*1.21/12,0),0)+IF(DATE(2027,7,1)&gt;=DATE($G$63,$F$63,1),ROUND(IF($C$63="Abbau",-1,1)*$D$63*$E$63*(1+0.05)^(1-($G$63-2026))*1.21/12,0),0)+IF(DATE(2027,7,1)&gt;=DATE($G$64,$F$64,1),ROUND(IF($C$64="Abbau",-1,1)*$D$64*$E$64*(1+0.03)^(1-($G$64-2026))*1.21/12,0),0)+IF(DATE(2027,7,1)&gt;=DATE($G$65,$F$65,1),ROUND(IF($C$65="Abbau",-1,1)*$D$65*$E$65*(1+0.02)^(1-($G$65-2026))*1.21/12,0),0)+IF(DATE(2027,7,1)&gt;=DATE($G$66,$F$66,1),ROUND(IF($C$66="Abbau",-1,1)*$D$66*$E$66*(1+0.02)^(1-($G$66-2026))*1.21/12,0),0)+IF(DATE(2027,7,1)&gt;=DATE($G$67,$F$67,1),ROUND(IF($C$67="Abbau",-1,1)*$D$67*$E$67*(1+0.04)^(1-($G$67-2026))*1.21/12,0),0)</f>
      </c>
      <c r="X217" s="46">
        <f>SUM(X209:X216)+IF(AND(DATE(2027,8,1)&gt;=DATE($E$54,$D$54,1),DATE(2027,8,1)&lt;=DATE($G$54,$F$54,1)),$C$54,0)+IF(AND(DATE(2027,8,1)&gt;=DATE($E$55,$D$55,1),DATE(2027,8,1)&lt;=DATE($G$55,$F$55,1)),$C$55,0)+IF(AND(DATE(2027,8,1)&gt;=DATE($E$56,$D$56,1),DATE(2027,8,1)&lt;=DATE($G$56,$F$56,1)),$C$56,0)+IF(AND(DATE(2027,8,1)&gt;=DATE($E$57,$D$57,1),DATE(2027,8,1)&lt;=DATE($G$57,$F$57,1)),$C$57,0)+IF(DATE(2027,8,1)&gt;=DATE($G$62,$F$62,1),ROUND(IF($C$62="Abbau",-1,1)*$D$62*$E$62*(1+0.04)^(1-($G$62-2026))*1.21/12,0),0)+IF(DATE(2027,8,1)&gt;=DATE($G$63,$F$63,1),ROUND(IF($C$63="Abbau",-1,1)*$D$63*$E$63*(1+0.05)^(1-($G$63-2026))*1.21/12,0),0)+IF(DATE(2027,8,1)&gt;=DATE($G$64,$F$64,1),ROUND(IF($C$64="Abbau",-1,1)*$D$64*$E$64*(1+0.03)^(1-($G$64-2026))*1.21/12,0),0)+IF(DATE(2027,8,1)&gt;=DATE($G$65,$F$65,1),ROUND(IF($C$65="Abbau",-1,1)*$D$65*$E$65*(1+0.02)^(1-($G$65-2026))*1.21/12,0),0)+IF(DATE(2027,8,1)&gt;=DATE($G$66,$F$66,1),ROUND(IF($C$66="Abbau",-1,1)*$D$66*$E$66*(1+0.02)^(1-($G$66-2026))*1.21/12,0),0)+IF(DATE(2027,8,1)&gt;=DATE($G$67,$F$67,1),ROUND(IF($C$67="Abbau",-1,1)*$D$67*$E$67*(1+0.04)^(1-($G$67-2026))*1.21/12,0),0)</f>
      </c>
      <c r="Y217" s="46">
        <f>SUM(Y209:Y216)+IF(AND(DATE(2027,9,1)&gt;=DATE($E$54,$D$54,1),DATE(2027,9,1)&lt;=DATE($G$54,$F$54,1)),$C$54,0)+IF(AND(DATE(2027,9,1)&gt;=DATE($E$55,$D$55,1),DATE(2027,9,1)&lt;=DATE($G$55,$F$55,1)),$C$55,0)+IF(AND(DATE(2027,9,1)&gt;=DATE($E$56,$D$56,1),DATE(2027,9,1)&lt;=DATE($G$56,$F$56,1)),$C$56,0)+IF(AND(DATE(2027,9,1)&gt;=DATE($E$57,$D$57,1),DATE(2027,9,1)&lt;=DATE($G$57,$F$57,1)),$C$57,0)+IF(DATE(2027,9,1)&gt;=DATE($G$62,$F$62,1),ROUND(IF($C$62="Abbau",-1,1)*$D$62*$E$62*(1+0.04)^(1-($G$62-2026))*1.21/12,0),0)+IF(DATE(2027,9,1)&gt;=DATE($G$63,$F$63,1),ROUND(IF($C$63="Abbau",-1,1)*$D$63*$E$63*(1+0.05)^(1-($G$63-2026))*1.21/12,0),0)+IF(DATE(2027,9,1)&gt;=DATE($G$64,$F$64,1),ROUND(IF($C$64="Abbau",-1,1)*$D$64*$E$64*(1+0.03)^(1-($G$64-2026))*1.21/12,0),0)+IF(DATE(2027,9,1)&gt;=DATE($G$65,$F$65,1),ROUND(IF($C$65="Abbau",-1,1)*$D$65*$E$65*(1+0.02)^(1-($G$65-2026))*1.21/12,0),0)+IF(DATE(2027,9,1)&gt;=DATE($G$66,$F$66,1),ROUND(IF($C$66="Abbau",-1,1)*$D$66*$E$66*(1+0.02)^(1-($G$66-2026))*1.21/12,0),0)+IF(DATE(2027,9,1)&gt;=DATE($G$67,$F$67,1),ROUND(IF($C$67="Abbau",-1,1)*$D$67*$E$67*(1+0.04)^(1-($G$67-2026))*1.21/12,0),0)</f>
      </c>
      <c r="Z217" s="46">
        <f>SUM(Z209:Z216)+IF(AND(DATE(2027,10,1)&gt;=DATE($E$54,$D$54,1),DATE(2027,10,1)&lt;=DATE($G$54,$F$54,1)),$C$54,0)+IF(AND(DATE(2027,10,1)&gt;=DATE($E$55,$D$55,1),DATE(2027,10,1)&lt;=DATE($G$55,$F$55,1)),$C$55,0)+IF(AND(DATE(2027,10,1)&gt;=DATE($E$56,$D$56,1),DATE(2027,10,1)&lt;=DATE($G$56,$F$56,1)),$C$56,0)+IF(AND(DATE(2027,10,1)&gt;=DATE($E$57,$D$57,1),DATE(2027,10,1)&lt;=DATE($G$57,$F$57,1)),$C$57,0)+IF(DATE(2027,10,1)&gt;=DATE($G$62,$F$62,1),ROUND(IF($C$62="Abbau",-1,1)*$D$62*$E$62*(1+0.04)^(1-($G$62-2026))*1.21/12,0),0)+IF(DATE(2027,10,1)&gt;=DATE($G$63,$F$63,1),ROUND(IF($C$63="Abbau",-1,1)*$D$63*$E$63*(1+0.05)^(1-($G$63-2026))*1.21/12,0),0)+IF(DATE(2027,10,1)&gt;=DATE($G$64,$F$64,1),ROUND(IF($C$64="Abbau",-1,1)*$D$64*$E$64*(1+0.03)^(1-($G$64-2026))*1.21/12,0),0)+IF(DATE(2027,10,1)&gt;=DATE($G$65,$F$65,1),ROUND(IF($C$65="Abbau",-1,1)*$D$65*$E$65*(1+0.02)^(1-($G$65-2026))*1.21/12,0),0)+IF(DATE(2027,10,1)&gt;=DATE($G$66,$F$66,1),ROUND(IF($C$66="Abbau",-1,1)*$D$66*$E$66*(1+0.02)^(1-($G$66-2026))*1.21/12,0),0)+IF(DATE(2027,10,1)&gt;=DATE($G$67,$F$67,1),ROUND(IF($C$67="Abbau",-1,1)*$D$67*$E$67*(1+0.04)^(1-($G$67-2026))*1.21/12,0),0)</f>
      </c>
      <c r="AA217" s="46">
        <f>SUM(AA209:AA216)+IF(AND(DATE(2027,11,1)&gt;=DATE($E$54,$D$54,1),DATE(2027,11,1)&lt;=DATE($G$54,$F$54,1)),$C$54,0)+IF(AND(DATE(2027,11,1)&gt;=DATE($E$55,$D$55,1),DATE(2027,11,1)&lt;=DATE($G$55,$F$55,1)),$C$55,0)+IF(AND(DATE(2027,11,1)&gt;=DATE($E$56,$D$56,1),DATE(2027,11,1)&lt;=DATE($G$56,$F$56,1)),$C$56,0)+IF(AND(DATE(2027,11,1)&gt;=DATE($E$57,$D$57,1),DATE(2027,11,1)&lt;=DATE($G$57,$F$57,1)),$C$57,0)+IF(DATE(2027,11,1)&gt;=DATE($G$62,$F$62,1),ROUND(IF($C$62="Abbau",-1,1)*$D$62*$E$62*(1+0.04)^(1-($G$62-2026))*1.21/12,0),0)+IF(DATE(2027,11,1)&gt;=DATE($G$63,$F$63,1),ROUND(IF($C$63="Abbau",-1,1)*$D$63*$E$63*(1+0.05)^(1-($G$63-2026))*1.21/12,0),0)+IF(DATE(2027,11,1)&gt;=DATE($G$64,$F$64,1),ROUND(IF($C$64="Abbau",-1,1)*$D$64*$E$64*(1+0.03)^(1-($G$64-2026))*1.21/12,0),0)+IF(DATE(2027,11,1)&gt;=DATE($G$65,$F$65,1),ROUND(IF($C$65="Abbau",-1,1)*$D$65*$E$65*(1+0.02)^(1-($G$65-2026))*1.21/12,0),0)+IF(DATE(2027,11,1)&gt;=DATE($G$66,$F$66,1),ROUND(IF($C$66="Abbau",-1,1)*$D$66*$E$66*(1+0.02)^(1-($G$66-2026))*1.21/12,0),0)+IF(DATE(2027,11,1)&gt;=DATE($G$67,$F$67,1),ROUND(IF($C$67="Abbau",-1,1)*$D$67*$E$67*(1+0.04)^(1-($G$67-2026))*1.21/12,0),0)</f>
      </c>
      <c r="AB217" s="46">
        <f>SUM(AB209:AB216)+IF(AND(DATE(2027,12,1)&gt;=DATE($E$54,$D$54,1),DATE(2027,12,1)&lt;=DATE($G$54,$F$54,1)),$C$54,0)+IF(AND(DATE(2027,12,1)&gt;=DATE($E$55,$D$55,1),DATE(2027,12,1)&lt;=DATE($G$55,$F$55,1)),$C$55,0)+IF(AND(DATE(2027,12,1)&gt;=DATE($E$56,$D$56,1),DATE(2027,12,1)&lt;=DATE($G$56,$F$56,1)),$C$56,0)+IF(AND(DATE(2027,12,1)&gt;=DATE($E$57,$D$57,1),DATE(2027,12,1)&lt;=DATE($G$57,$F$57,1)),$C$57,0)+IF(DATE(2027,12,1)&gt;=DATE($G$62,$F$62,1),ROUND(IF($C$62="Abbau",-1,1)*$D$62*$E$62*(1+0.04)^(1-($G$62-2026))*1.21/12,0),0)+IF(DATE(2027,12,1)&gt;=DATE($G$63,$F$63,1),ROUND(IF($C$63="Abbau",-1,1)*$D$63*$E$63*(1+0.05)^(1-($G$63-2026))*1.21/12,0),0)+IF(DATE(2027,12,1)&gt;=DATE($G$64,$F$64,1),ROUND(IF($C$64="Abbau",-1,1)*$D$64*$E$64*(1+0.03)^(1-($G$64-2026))*1.21/12,0),0)+IF(DATE(2027,12,1)&gt;=DATE($G$65,$F$65,1),ROUND(IF($C$65="Abbau",-1,1)*$D$65*$E$65*(1+0.02)^(1-($G$65-2026))*1.21/12,0),0)+IF(DATE(2027,12,1)&gt;=DATE($G$66,$F$66,1),ROUND(IF($C$66="Abbau",-1,1)*$D$66*$E$66*(1+0.02)^(1-($G$66-2026))*1.21/12,0),0)+IF(DATE(2027,12,1)&gt;=DATE($G$67,$F$67,1),ROUND(IF($C$67="Abbau",-1,1)*$D$67*$E$67*(1+0.04)^(1-($G$67-2026))*1.21/12,0),0)</f>
      </c>
      <c r="AC217" s="47">
        <f>SUM(Q217:AB217)</f>
      </c>
      <c r="AD217" s="46">
        <f>SUM(AD209:AD216)+IF(AND(DATE(2028,1,1)&gt;=DATE($E$54,$D$54,1),DATE(2028,1,1)&lt;=DATE($G$54,$F$54,1)),$C$54,0)+IF(AND(DATE(2028,1,1)&gt;=DATE($E$55,$D$55,1),DATE(2028,1,1)&lt;=DATE($G$55,$F$55,1)),$C$55,0)+IF(AND(DATE(2028,1,1)&gt;=DATE($E$56,$D$56,1),DATE(2028,1,1)&lt;=DATE($G$56,$F$56,1)),$C$56,0)+IF(AND(DATE(2028,1,1)&gt;=DATE($E$57,$D$57,1),DATE(2028,1,1)&lt;=DATE($G$57,$F$57,1)),$C$57,0)+IF(DATE(2028,1,1)&gt;=DATE($G$62,$F$62,1),ROUND(IF($C$62="Abbau",-1,1)*$D$62*$E$62*(1+0.04)^(2-($G$62-2026))*1.21/12,0),0)+IF(DATE(2028,1,1)&gt;=DATE($G$63,$F$63,1),ROUND(IF($C$63="Abbau",-1,1)*$D$63*$E$63*(1+0.05)^(2-($G$63-2026))*1.21/12,0),0)+IF(DATE(2028,1,1)&gt;=DATE($G$64,$F$64,1),ROUND(IF($C$64="Abbau",-1,1)*$D$64*$E$64*(1+0.03)^(2-($G$64-2026))*1.21/12,0),0)+IF(DATE(2028,1,1)&gt;=DATE($G$65,$F$65,1),ROUND(IF($C$65="Abbau",-1,1)*$D$65*$E$65*(1+0.02)^(2-($G$65-2026))*1.21/12,0),0)+IF(DATE(2028,1,1)&gt;=DATE($G$66,$F$66,1),ROUND(IF($C$66="Abbau",-1,1)*$D$66*$E$66*(1+0.02)^(2-($G$66-2026))*1.21/12,0),0)+IF(DATE(2028,1,1)&gt;=DATE($G$67,$F$67,1),ROUND(IF($C$67="Abbau",-1,1)*$D$67*$E$67*(1+0.04)^(2-($G$67-2026))*1.21/12,0),0)</f>
      </c>
      <c r="AE217" s="46">
        <f>SUM(AE209:AE216)+IF(AND(DATE(2028,2,1)&gt;=DATE($E$54,$D$54,1),DATE(2028,2,1)&lt;=DATE($G$54,$F$54,1)),$C$54,0)+IF(AND(DATE(2028,2,1)&gt;=DATE($E$55,$D$55,1),DATE(2028,2,1)&lt;=DATE($G$55,$F$55,1)),$C$55,0)+IF(AND(DATE(2028,2,1)&gt;=DATE($E$56,$D$56,1),DATE(2028,2,1)&lt;=DATE($G$56,$F$56,1)),$C$56,0)+IF(AND(DATE(2028,2,1)&gt;=DATE($E$57,$D$57,1),DATE(2028,2,1)&lt;=DATE($G$57,$F$57,1)),$C$57,0)+IF(DATE(2028,2,1)&gt;=DATE($G$62,$F$62,1),ROUND(IF($C$62="Abbau",-1,1)*$D$62*$E$62*(1+0.04)^(2-($G$62-2026))*1.21/12,0),0)+IF(DATE(2028,2,1)&gt;=DATE($G$63,$F$63,1),ROUND(IF($C$63="Abbau",-1,1)*$D$63*$E$63*(1+0.05)^(2-($G$63-2026))*1.21/12,0),0)+IF(DATE(2028,2,1)&gt;=DATE($G$64,$F$64,1),ROUND(IF($C$64="Abbau",-1,1)*$D$64*$E$64*(1+0.03)^(2-($G$64-2026))*1.21/12,0),0)+IF(DATE(2028,2,1)&gt;=DATE($G$65,$F$65,1),ROUND(IF($C$65="Abbau",-1,1)*$D$65*$E$65*(1+0.02)^(2-($G$65-2026))*1.21/12,0),0)+IF(DATE(2028,2,1)&gt;=DATE($G$66,$F$66,1),ROUND(IF($C$66="Abbau",-1,1)*$D$66*$E$66*(1+0.02)^(2-($G$66-2026))*1.21/12,0),0)+IF(DATE(2028,2,1)&gt;=DATE($G$67,$F$67,1),ROUND(IF($C$67="Abbau",-1,1)*$D$67*$E$67*(1+0.04)^(2-($G$67-2026))*1.21/12,0),0)</f>
      </c>
      <c r="AF217" s="46">
        <f>SUM(AF209:AF216)+IF(AND(DATE(2028,3,1)&gt;=DATE($E$54,$D$54,1),DATE(2028,3,1)&lt;=DATE($G$54,$F$54,1)),$C$54,0)+IF(AND(DATE(2028,3,1)&gt;=DATE($E$55,$D$55,1),DATE(2028,3,1)&lt;=DATE($G$55,$F$55,1)),$C$55,0)+IF(AND(DATE(2028,3,1)&gt;=DATE($E$56,$D$56,1),DATE(2028,3,1)&lt;=DATE($G$56,$F$56,1)),$C$56,0)+IF(AND(DATE(2028,3,1)&gt;=DATE($E$57,$D$57,1),DATE(2028,3,1)&lt;=DATE($G$57,$F$57,1)),$C$57,0)+IF(DATE(2028,3,1)&gt;=DATE($G$62,$F$62,1),ROUND(IF($C$62="Abbau",-1,1)*$D$62*$E$62*(1+0.04)^(2-($G$62-2026))*1.21/12,0),0)+IF(DATE(2028,3,1)&gt;=DATE($G$63,$F$63,1),ROUND(IF($C$63="Abbau",-1,1)*$D$63*$E$63*(1+0.05)^(2-($G$63-2026))*1.21/12,0),0)+IF(DATE(2028,3,1)&gt;=DATE($G$64,$F$64,1),ROUND(IF($C$64="Abbau",-1,1)*$D$64*$E$64*(1+0.03)^(2-($G$64-2026))*1.21/12,0),0)+IF(DATE(2028,3,1)&gt;=DATE($G$65,$F$65,1),ROUND(IF($C$65="Abbau",-1,1)*$D$65*$E$65*(1+0.02)^(2-($G$65-2026))*1.21/12,0),0)+IF(DATE(2028,3,1)&gt;=DATE($G$66,$F$66,1),ROUND(IF($C$66="Abbau",-1,1)*$D$66*$E$66*(1+0.02)^(2-($G$66-2026))*1.21/12,0),0)+IF(DATE(2028,3,1)&gt;=DATE($G$67,$F$67,1),ROUND(IF($C$67="Abbau",-1,1)*$D$67*$E$67*(1+0.04)^(2-($G$67-2026))*1.21/12,0),0)</f>
      </c>
      <c r="AG217" s="46">
        <f>SUM(AG209:AG216)+IF(AND(DATE(2028,4,1)&gt;=DATE($E$54,$D$54,1),DATE(2028,4,1)&lt;=DATE($G$54,$F$54,1)),$C$54,0)+IF(AND(DATE(2028,4,1)&gt;=DATE($E$55,$D$55,1),DATE(2028,4,1)&lt;=DATE($G$55,$F$55,1)),$C$55,0)+IF(AND(DATE(2028,4,1)&gt;=DATE($E$56,$D$56,1),DATE(2028,4,1)&lt;=DATE($G$56,$F$56,1)),$C$56,0)+IF(AND(DATE(2028,4,1)&gt;=DATE($E$57,$D$57,1),DATE(2028,4,1)&lt;=DATE($G$57,$F$57,1)),$C$57,0)+IF(DATE(2028,4,1)&gt;=DATE($G$62,$F$62,1),ROUND(IF($C$62="Abbau",-1,1)*$D$62*$E$62*(1+0.04)^(2-($G$62-2026))*1.21/12,0),0)+IF(DATE(2028,4,1)&gt;=DATE($G$63,$F$63,1),ROUND(IF($C$63="Abbau",-1,1)*$D$63*$E$63*(1+0.05)^(2-($G$63-2026))*1.21/12,0),0)+IF(DATE(2028,4,1)&gt;=DATE($G$64,$F$64,1),ROUND(IF($C$64="Abbau",-1,1)*$D$64*$E$64*(1+0.03)^(2-($G$64-2026))*1.21/12,0),0)+IF(DATE(2028,4,1)&gt;=DATE($G$65,$F$65,1),ROUND(IF($C$65="Abbau",-1,1)*$D$65*$E$65*(1+0.02)^(2-($G$65-2026))*1.21/12,0),0)+IF(DATE(2028,4,1)&gt;=DATE($G$66,$F$66,1),ROUND(IF($C$66="Abbau",-1,1)*$D$66*$E$66*(1+0.02)^(2-($G$66-2026))*1.21/12,0),0)+IF(DATE(2028,4,1)&gt;=DATE($G$67,$F$67,1),ROUND(IF($C$67="Abbau",-1,1)*$D$67*$E$67*(1+0.04)^(2-($G$67-2026))*1.21/12,0),0)</f>
      </c>
      <c r="AH217" s="46">
        <f>SUM(AH209:AH216)+IF(AND(DATE(2028,5,1)&gt;=DATE($E$54,$D$54,1),DATE(2028,5,1)&lt;=DATE($G$54,$F$54,1)),$C$54,0)+IF(AND(DATE(2028,5,1)&gt;=DATE($E$55,$D$55,1),DATE(2028,5,1)&lt;=DATE($G$55,$F$55,1)),$C$55,0)+IF(AND(DATE(2028,5,1)&gt;=DATE($E$56,$D$56,1),DATE(2028,5,1)&lt;=DATE($G$56,$F$56,1)),$C$56,0)+IF(AND(DATE(2028,5,1)&gt;=DATE($E$57,$D$57,1),DATE(2028,5,1)&lt;=DATE($G$57,$F$57,1)),$C$57,0)+IF(DATE(2028,5,1)&gt;=DATE($G$62,$F$62,1),ROUND(IF($C$62="Abbau",-1,1)*$D$62*$E$62*(1+0.04)^(2-($G$62-2026))*1.21/12,0),0)+IF(DATE(2028,5,1)&gt;=DATE($G$63,$F$63,1),ROUND(IF($C$63="Abbau",-1,1)*$D$63*$E$63*(1+0.05)^(2-($G$63-2026))*1.21/12,0),0)+IF(DATE(2028,5,1)&gt;=DATE($G$64,$F$64,1),ROUND(IF($C$64="Abbau",-1,1)*$D$64*$E$64*(1+0.03)^(2-($G$64-2026))*1.21/12,0),0)+IF(DATE(2028,5,1)&gt;=DATE($G$65,$F$65,1),ROUND(IF($C$65="Abbau",-1,1)*$D$65*$E$65*(1+0.02)^(2-($G$65-2026))*1.21/12,0),0)+IF(DATE(2028,5,1)&gt;=DATE($G$66,$F$66,1),ROUND(IF($C$66="Abbau",-1,1)*$D$66*$E$66*(1+0.02)^(2-($G$66-2026))*1.21/12,0),0)+IF(DATE(2028,5,1)&gt;=DATE($G$67,$F$67,1),ROUND(IF($C$67="Abbau",-1,1)*$D$67*$E$67*(1+0.04)^(2-($G$67-2026))*1.21/12,0),0)</f>
      </c>
      <c r="AI217" s="46">
        <f>SUM(AI209:AI216)+IF(AND(DATE(2028,6,1)&gt;=DATE($E$54,$D$54,1),DATE(2028,6,1)&lt;=DATE($G$54,$F$54,1)),$C$54,0)+IF(AND(DATE(2028,6,1)&gt;=DATE($E$55,$D$55,1),DATE(2028,6,1)&lt;=DATE($G$55,$F$55,1)),$C$55,0)+IF(AND(DATE(2028,6,1)&gt;=DATE($E$56,$D$56,1),DATE(2028,6,1)&lt;=DATE($G$56,$F$56,1)),$C$56,0)+IF(AND(DATE(2028,6,1)&gt;=DATE($E$57,$D$57,1),DATE(2028,6,1)&lt;=DATE($G$57,$F$57,1)),$C$57,0)+IF(DATE(2028,6,1)&gt;=DATE($G$62,$F$62,1),ROUND(IF($C$62="Abbau",-1,1)*$D$62*$E$62*(1+0.04)^(2-($G$62-2026))*1.21/12,0),0)+IF(DATE(2028,6,1)&gt;=DATE($G$63,$F$63,1),ROUND(IF($C$63="Abbau",-1,1)*$D$63*$E$63*(1+0.05)^(2-($G$63-2026))*1.21/12,0),0)+IF(DATE(2028,6,1)&gt;=DATE($G$64,$F$64,1),ROUND(IF($C$64="Abbau",-1,1)*$D$64*$E$64*(1+0.03)^(2-($G$64-2026))*1.21/12,0),0)+IF(DATE(2028,6,1)&gt;=DATE($G$65,$F$65,1),ROUND(IF($C$65="Abbau",-1,1)*$D$65*$E$65*(1+0.02)^(2-($G$65-2026))*1.21/12,0),0)+IF(DATE(2028,6,1)&gt;=DATE($G$66,$F$66,1),ROUND(IF($C$66="Abbau",-1,1)*$D$66*$E$66*(1+0.02)^(2-($G$66-2026))*1.21/12,0),0)+IF(DATE(2028,6,1)&gt;=DATE($G$67,$F$67,1),ROUND(IF($C$67="Abbau",-1,1)*$D$67*$E$67*(1+0.04)^(2-($G$67-2026))*1.21/12,0),0)</f>
      </c>
      <c r="AJ217" s="46">
        <f>SUM(AJ209:AJ216)+IF(AND(DATE(2028,7,1)&gt;=DATE($E$54,$D$54,1),DATE(2028,7,1)&lt;=DATE($G$54,$F$54,1)),$C$54,0)+IF(AND(DATE(2028,7,1)&gt;=DATE($E$55,$D$55,1),DATE(2028,7,1)&lt;=DATE($G$55,$F$55,1)),$C$55,0)+IF(AND(DATE(2028,7,1)&gt;=DATE($E$56,$D$56,1),DATE(2028,7,1)&lt;=DATE($G$56,$F$56,1)),$C$56,0)+IF(AND(DATE(2028,7,1)&gt;=DATE($E$57,$D$57,1),DATE(2028,7,1)&lt;=DATE($G$57,$F$57,1)),$C$57,0)+IF(DATE(2028,7,1)&gt;=DATE($G$62,$F$62,1),ROUND(IF($C$62="Abbau",-1,1)*$D$62*$E$62*(1+0.04)^(2-($G$62-2026))*1.21/12,0),0)+IF(DATE(2028,7,1)&gt;=DATE($G$63,$F$63,1),ROUND(IF($C$63="Abbau",-1,1)*$D$63*$E$63*(1+0.05)^(2-($G$63-2026))*1.21/12,0),0)+IF(DATE(2028,7,1)&gt;=DATE($G$64,$F$64,1),ROUND(IF($C$64="Abbau",-1,1)*$D$64*$E$64*(1+0.03)^(2-($G$64-2026))*1.21/12,0),0)+IF(DATE(2028,7,1)&gt;=DATE($G$65,$F$65,1),ROUND(IF($C$65="Abbau",-1,1)*$D$65*$E$65*(1+0.02)^(2-($G$65-2026))*1.21/12,0),0)+IF(DATE(2028,7,1)&gt;=DATE($G$66,$F$66,1),ROUND(IF($C$66="Abbau",-1,1)*$D$66*$E$66*(1+0.02)^(2-($G$66-2026))*1.21/12,0),0)+IF(DATE(2028,7,1)&gt;=DATE($G$67,$F$67,1),ROUND(IF($C$67="Abbau",-1,1)*$D$67*$E$67*(1+0.04)^(2-($G$67-2026))*1.21/12,0),0)</f>
      </c>
      <c r="AK217" s="46">
        <f>SUM(AK209:AK216)+IF(AND(DATE(2028,8,1)&gt;=DATE($E$54,$D$54,1),DATE(2028,8,1)&lt;=DATE($G$54,$F$54,1)),$C$54,0)+IF(AND(DATE(2028,8,1)&gt;=DATE($E$55,$D$55,1),DATE(2028,8,1)&lt;=DATE($G$55,$F$55,1)),$C$55,0)+IF(AND(DATE(2028,8,1)&gt;=DATE($E$56,$D$56,1),DATE(2028,8,1)&lt;=DATE($G$56,$F$56,1)),$C$56,0)+IF(AND(DATE(2028,8,1)&gt;=DATE($E$57,$D$57,1),DATE(2028,8,1)&lt;=DATE($G$57,$F$57,1)),$C$57,0)+IF(DATE(2028,8,1)&gt;=DATE($G$62,$F$62,1),ROUND(IF($C$62="Abbau",-1,1)*$D$62*$E$62*(1+0.04)^(2-($G$62-2026))*1.21/12,0),0)+IF(DATE(2028,8,1)&gt;=DATE($G$63,$F$63,1),ROUND(IF($C$63="Abbau",-1,1)*$D$63*$E$63*(1+0.05)^(2-($G$63-2026))*1.21/12,0),0)+IF(DATE(2028,8,1)&gt;=DATE($G$64,$F$64,1),ROUND(IF($C$64="Abbau",-1,1)*$D$64*$E$64*(1+0.03)^(2-($G$64-2026))*1.21/12,0),0)+IF(DATE(2028,8,1)&gt;=DATE($G$65,$F$65,1),ROUND(IF($C$65="Abbau",-1,1)*$D$65*$E$65*(1+0.02)^(2-($G$65-2026))*1.21/12,0),0)+IF(DATE(2028,8,1)&gt;=DATE($G$66,$F$66,1),ROUND(IF($C$66="Abbau",-1,1)*$D$66*$E$66*(1+0.02)^(2-($G$66-2026))*1.21/12,0),0)+IF(DATE(2028,8,1)&gt;=DATE($G$67,$F$67,1),ROUND(IF($C$67="Abbau",-1,1)*$D$67*$E$67*(1+0.04)^(2-($G$67-2026))*1.21/12,0),0)</f>
      </c>
      <c r="AL217" s="46">
        <f>SUM(AL209:AL216)+IF(AND(DATE(2028,9,1)&gt;=DATE($E$54,$D$54,1),DATE(2028,9,1)&lt;=DATE($G$54,$F$54,1)),$C$54,0)+IF(AND(DATE(2028,9,1)&gt;=DATE($E$55,$D$55,1),DATE(2028,9,1)&lt;=DATE($G$55,$F$55,1)),$C$55,0)+IF(AND(DATE(2028,9,1)&gt;=DATE($E$56,$D$56,1),DATE(2028,9,1)&lt;=DATE($G$56,$F$56,1)),$C$56,0)+IF(AND(DATE(2028,9,1)&gt;=DATE($E$57,$D$57,1),DATE(2028,9,1)&lt;=DATE($G$57,$F$57,1)),$C$57,0)+IF(DATE(2028,9,1)&gt;=DATE($G$62,$F$62,1),ROUND(IF($C$62="Abbau",-1,1)*$D$62*$E$62*(1+0.04)^(2-($G$62-2026))*1.21/12,0),0)+IF(DATE(2028,9,1)&gt;=DATE($G$63,$F$63,1),ROUND(IF($C$63="Abbau",-1,1)*$D$63*$E$63*(1+0.05)^(2-($G$63-2026))*1.21/12,0),0)+IF(DATE(2028,9,1)&gt;=DATE($G$64,$F$64,1),ROUND(IF($C$64="Abbau",-1,1)*$D$64*$E$64*(1+0.03)^(2-($G$64-2026))*1.21/12,0),0)+IF(DATE(2028,9,1)&gt;=DATE($G$65,$F$65,1),ROUND(IF($C$65="Abbau",-1,1)*$D$65*$E$65*(1+0.02)^(2-($G$65-2026))*1.21/12,0),0)+IF(DATE(2028,9,1)&gt;=DATE($G$66,$F$66,1),ROUND(IF($C$66="Abbau",-1,1)*$D$66*$E$66*(1+0.02)^(2-($G$66-2026))*1.21/12,0),0)+IF(DATE(2028,9,1)&gt;=DATE($G$67,$F$67,1),ROUND(IF($C$67="Abbau",-1,1)*$D$67*$E$67*(1+0.04)^(2-($G$67-2026))*1.21/12,0),0)</f>
      </c>
      <c r="AM217" s="46">
        <f>SUM(AM209:AM216)+IF(AND(DATE(2028,10,1)&gt;=DATE($E$54,$D$54,1),DATE(2028,10,1)&lt;=DATE($G$54,$F$54,1)),$C$54,0)+IF(AND(DATE(2028,10,1)&gt;=DATE($E$55,$D$55,1),DATE(2028,10,1)&lt;=DATE($G$55,$F$55,1)),$C$55,0)+IF(AND(DATE(2028,10,1)&gt;=DATE($E$56,$D$56,1),DATE(2028,10,1)&lt;=DATE($G$56,$F$56,1)),$C$56,0)+IF(AND(DATE(2028,10,1)&gt;=DATE($E$57,$D$57,1),DATE(2028,10,1)&lt;=DATE($G$57,$F$57,1)),$C$57,0)+IF(DATE(2028,10,1)&gt;=DATE($G$62,$F$62,1),ROUND(IF($C$62="Abbau",-1,1)*$D$62*$E$62*(1+0.04)^(2-($G$62-2026))*1.21/12,0),0)+IF(DATE(2028,10,1)&gt;=DATE($G$63,$F$63,1),ROUND(IF($C$63="Abbau",-1,1)*$D$63*$E$63*(1+0.05)^(2-($G$63-2026))*1.21/12,0),0)+IF(DATE(2028,10,1)&gt;=DATE($G$64,$F$64,1),ROUND(IF($C$64="Abbau",-1,1)*$D$64*$E$64*(1+0.03)^(2-($G$64-2026))*1.21/12,0),0)+IF(DATE(2028,10,1)&gt;=DATE($G$65,$F$65,1),ROUND(IF($C$65="Abbau",-1,1)*$D$65*$E$65*(1+0.02)^(2-($G$65-2026))*1.21/12,0),0)+IF(DATE(2028,10,1)&gt;=DATE($G$66,$F$66,1),ROUND(IF($C$66="Abbau",-1,1)*$D$66*$E$66*(1+0.02)^(2-($G$66-2026))*1.21/12,0),0)+IF(DATE(2028,10,1)&gt;=DATE($G$67,$F$67,1),ROUND(IF($C$67="Abbau",-1,1)*$D$67*$E$67*(1+0.04)^(2-($G$67-2026))*1.21/12,0),0)</f>
      </c>
      <c r="AN217" s="46">
        <f>SUM(AN209:AN216)+IF(AND(DATE(2028,11,1)&gt;=DATE($E$54,$D$54,1),DATE(2028,11,1)&lt;=DATE($G$54,$F$54,1)),$C$54,0)+IF(AND(DATE(2028,11,1)&gt;=DATE($E$55,$D$55,1),DATE(2028,11,1)&lt;=DATE($G$55,$F$55,1)),$C$55,0)+IF(AND(DATE(2028,11,1)&gt;=DATE($E$56,$D$56,1),DATE(2028,11,1)&lt;=DATE($G$56,$F$56,1)),$C$56,0)+IF(AND(DATE(2028,11,1)&gt;=DATE($E$57,$D$57,1),DATE(2028,11,1)&lt;=DATE($G$57,$F$57,1)),$C$57,0)+IF(DATE(2028,11,1)&gt;=DATE($G$62,$F$62,1),ROUND(IF($C$62="Abbau",-1,1)*$D$62*$E$62*(1+0.04)^(2-($G$62-2026))*1.21/12,0),0)+IF(DATE(2028,11,1)&gt;=DATE($G$63,$F$63,1),ROUND(IF($C$63="Abbau",-1,1)*$D$63*$E$63*(1+0.05)^(2-($G$63-2026))*1.21/12,0),0)+IF(DATE(2028,11,1)&gt;=DATE($G$64,$F$64,1),ROUND(IF($C$64="Abbau",-1,1)*$D$64*$E$64*(1+0.03)^(2-($G$64-2026))*1.21/12,0),0)+IF(DATE(2028,11,1)&gt;=DATE($G$65,$F$65,1),ROUND(IF($C$65="Abbau",-1,1)*$D$65*$E$65*(1+0.02)^(2-($G$65-2026))*1.21/12,0),0)+IF(DATE(2028,11,1)&gt;=DATE($G$66,$F$66,1),ROUND(IF($C$66="Abbau",-1,1)*$D$66*$E$66*(1+0.02)^(2-($G$66-2026))*1.21/12,0),0)+IF(DATE(2028,11,1)&gt;=DATE($G$67,$F$67,1),ROUND(IF($C$67="Abbau",-1,1)*$D$67*$E$67*(1+0.04)^(2-($G$67-2026))*1.21/12,0),0)</f>
      </c>
      <c r="AO217" s="46">
        <f>SUM(AO209:AO216)+IF(AND(DATE(2028,12,1)&gt;=DATE($E$54,$D$54,1),DATE(2028,12,1)&lt;=DATE($G$54,$F$54,1)),$C$54,0)+IF(AND(DATE(2028,12,1)&gt;=DATE($E$55,$D$55,1),DATE(2028,12,1)&lt;=DATE($G$55,$F$55,1)),$C$55,0)+IF(AND(DATE(2028,12,1)&gt;=DATE($E$56,$D$56,1),DATE(2028,12,1)&lt;=DATE($G$56,$F$56,1)),$C$56,0)+IF(AND(DATE(2028,12,1)&gt;=DATE($E$57,$D$57,1),DATE(2028,12,1)&lt;=DATE($G$57,$F$57,1)),$C$57,0)+IF(DATE(2028,12,1)&gt;=DATE($G$62,$F$62,1),ROUND(IF($C$62="Abbau",-1,1)*$D$62*$E$62*(1+0.04)^(2-($G$62-2026))*1.21/12,0),0)+IF(DATE(2028,12,1)&gt;=DATE($G$63,$F$63,1),ROUND(IF($C$63="Abbau",-1,1)*$D$63*$E$63*(1+0.05)^(2-($G$63-2026))*1.21/12,0),0)+IF(DATE(2028,12,1)&gt;=DATE($G$64,$F$64,1),ROUND(IF($C$64="Abbau",-1,1)*$D$64*$E$64*(1+0.03)^(2-($G$64-2026))*1.21/12,0),0)+IF(DATE(2028,12,1)&gt;=DATE($G$65,$F$65,1),ROUND(IF($C$65="Abbau",-1,1)*$D$65*$E$65*(1+0.02)^(2-($G$65-2026))*1.21/12,0),0)+IF(DATE(2028,12,1)&gt;=DATE($G$66,$F$66,1),ROUND(IF($C$66="Abbau",-1,1)*$D$66*$E$66*(1+0.02)^(2-($G$66-2026))*1.21/12,0),0)+IF(DATE(2028,12,1)&gt;=DATE($G$67,$F$67,1),ROUND(IF($C$67="Abbau",-1,1)*$D$67*$E$67*(1+0.04)^(2-($G$67-2026))*1.21/12,0),0)</f>
      </c>
      <c r="AP217" s="47">
        <f>SUM(AD217:AO217)</f>
      </c>
    </row>
    <row r="218" hidden="1" spans="2:42" x14ac:dyDescent="0.25" outlineLevel="1" collapsed="1">
      <c r="B218" s="19" t="s">
        <v>265</v>
      </c>
      <c r="D218" s="48">
        <f>D208+D217</f>
      </c>
      <c r="E218" s="48">
        <f>E208+E217</f>
      </c>
      <c r="F218" s="48">
        <f>F208+F217</f>
      </c>
      <c r="G218" s="48">
        <f>G208+G217</f>
      </c>
      <c r="H218" s="48">
        <f>H208+H217</f>
      </c>
      <c r="I218" s="48">
        <f>I208+I217</f>
      </c>
      <c r="J218" s="48">
        <f>J208+J217</f>
      </c>
      <c r="K218" s="48">
        <f>K208+K217</f>
      </c>
      <c r="L218" s="48">
        <f>L208+L217</f>
      </c>
      <c r="M218" s="48">
        <f>M208+M217</f>
      </c>
      <c r="N218" s="48">
        <f>N208+N217</f>
      </c>
      <c r="O218" s="48">
        <f>O208+O217</f>
      </c>
      <c r="P218" s="42">
        <f>SUM(D218:O218)</f>
      </c>
      <c r="Q218" s="48">
        <f>Q208+Q217</f>
      </c>
      <c r="R218" s="48">
        <f>R208+R217</f>
      </c>
      <c r="S218" s="48">
        <f>S208+S217</f>
      </c>
      <c r="T218" s="48">
        <f>T208+T217</f>
      </c>
      <c r="U218" s="48">
        <f>U208+U217</f>
      </c>
      <c r="V218" s="48">
        <f>V208+V217</f>
      </c>
      <c r="W218" s="48">
        <f>W208+W217</f>
      </c>
      <c r="X218" s="48">
        <f>X208+X217</f>
      </c>
      <c r="Y218" s="48">
        <f>Y208+Y217</f>
      </c>
      <c r="Z218" s="48">
        <f>Z208+Z217</f>
      </c>
      <c r="AA218" s="48">
        <f>AA208+AA217</f>
      </c>
      <c r="AB218" s="48">
        <f>AB208+AB217</f>
      </c>
      <c r="AC218" s="42">
        <f>SUM(Q218:AB218)</f>
      </c>
      <c r="AD218" s="48">
        <f>AD208+AD217</f>
      </c>
      <c r="AE218" s="48">
        <f>AE208+AE217</f>
      </c>
      <c r="AF218" s="48">
        <f>AF208+AF217</f>
      </c>
      <c r="AG218" s="48">
        <f>AG208+AG217</f>
      </c>
      <c r="AH218" s="48">
        <f>AH208+AH217</f>
      </c>
      <c r="AI218" s="48">
        <f>AI208+AI217</f>
      </c>
      <c r="AJ218" s="48">
        <f>AJ208+AJ217</f>
      </c>
      <c r="AK218" s="48">
        <f>AK208+AK217</f>
      </c>
      <c r="AL218" s="48">
        <f>AL208+AL217</f>
      </c>
      <c r="AM218" s="48">
        <f>AM208+AM217</f>
      </c>
      <c r="AN218" s="48">
        <f>AN208+AN217</f>
      </c>
      <c r="AO218" s="48">
        <f>AO208+AO217</f>
      </c>
      <c r="AP218" s="42">
        <f>SUM(AD218:AO218)</f>
      </c>
    </row>
    <row r="219" hidden="1" spans="1:1" x14ac:dyDescent="0.25" outlineLevel="1" collapsed="1">
      <c r="A219" s="19" t="s">
        <v>261</v>
      </c>
    </row>
    <row r="220" ht="20" customHeight="1" hidden="1" spans="2:42" x14ac:dyDescent="0.25" outlineLevel="1" collapsed="1">
      <c r="B220" s="4" t="s">
        <v>266</v>
      </c>
      <c r="C220" s="38" t="s">
        <v>219</v>
      </c>
      <c r="D220" s="18" t="s">
        <v>220</v>
      </c>
      <c r="E220" s="18" t="s">
        <v>221</v>
      </c>
      <c r="F220" s="18" t="s">
        <v>222</v>
      </c>
      <c r="G220" s="18" t="s">
        <v>223</v>
      </c>
      <c r="H220" s="18" t="s">
        <v>224</v>
      </c>
      <c r="I220" s="18" t="s">
        <v>225</v>
      </c>
      <c r="J220" s="18" t="s">
        <v>226</v>
      </c>
      <c r="K220" s="18" t="s">
        <v>227</v>
      </c>
      <c r="L220" s="18" t="s">
        <v>228</v>
      </c>
      <c r="M220" s="18" t="s">
        <v>229</v>
      </c>
      <c r="N220" s="18" t="s">
        <v>230</v>
      </c>
      <c r="O220" s="18" t="s">
        <v>231</v>
      </c>
      <c r="P220" s="39" t="s">
        <v>232</v>
      </c>
      <c r="Q220" s="18" t="s">
        <v>233</v>
      </c>
      <c r="R220" s="18" t="s">
        <v>234</v>
      </c>
      <c r="S220" s="18" t="s">
        <v>235</v>
      </c>
      <c r="T220" s="18" t="s">
        <v>236</v>
      </c>
      <c r="U220" s="18" t="s">
        <v>237</v>
      </c>
      <c r="V220" s="18" t="s">
        <v>238</v>
      </c>
      <c r="W220" s="18" t="s">
        <v>239</v>
      </c>
      <c r="X220" s="18" t="s">
        <v>240</v>
      </c>
      <c r="Y220" s="18" t="s">
        <v>241</v>
      </c>
      <c r="Z220" s="18" t="s">
        <v>242</v>
      </c>
      <c r="AA220" s="18" t="s">
        <v>243</v>
      </c>
      <c r="AB220" s="18" t="s">
        <v>244</v>
      </c>
      <c r="AC220" s="39" t="s">
        <v>245</v>
      </c>
      <c r="AD220" s="18" t="s">
        <v>246</v>
      </c>
      <c r="AE220" s="18" t="s">
        <v>247</v>
      </c>
      <c r="AF220" s="18" t="s">
        <v>248</v>
      </c>
      <c r="AG220" s="18" t="s">
        <v>249</v>
      </c>
      <c r="AH220" s="18" t="s">
        <v>250</v>
      </c>
      <c r="AI220" s="18" t="s">
        <v>251</v>
      </c>
      <c r="AJ220" s="18" t="s">
        <v>252</v>
      </c>
      <c r="AK220" s="18" t="s">
        <v>253</v>
      </c>
      <c r="AL220" s="18" t="s">
        <v>254</v>
      </c>
      <c r="AM220" s="18" t="s">
        <v>255</v>
      </c>
      <c r="AN220" s="18" t="s">
        <v>256</v>
      </c>
      <c r="AO220" s="18" t="s">
        <v>257</v>
      </c>
      <c r="AP220" s="39" t="s">
        <v>258</v>
      </c>
    </row>
    <row r="221" hidden="1" spans="2:42" x14ac:dyDescent="0.25" outlineLevel="1" collapsed="1">
      <c r="B221" s="19" t="s">
        <v>138</v>
      </c>
      <c r="C221" s="40">
        <f>D72</f>
      </c>
      <c r="D221" s="41">
        <f>ROUND($C$72*(1+$D$72)^0/12,0)</f>
      </c>
      <c r="E221" s="41">
        <f>ROUND($C$72*(1+$D$72)^0/12,0)</f>
      </c>
      <c r="F221" s="41">
        <f>ROUND($C$72*(1+$D$72)^0/12,0)</f>
      </c>
      <c r="G221" s="41">
        <f>ROUND($C$72*(1+$D$72)^0/12,0)</f>
      </c>
      <c r="H221" s="41">
        <f>ROUND($C$72*(1+$D$72)^0/12,0)</f>
      </c>
      <c r="I221" s="41">
        <f>ROUND($C$72*(1+$D$72)^0/12,0)</f>
      </c>
      <c r="J221" s="41">
        <f>ROUND($C$72*(1+$D$72)^0/12,0)</f>
      </c>
      <c r="K221" s="41">
        <f>ROUND($C$72*(1+$D$72)^0/12,0)</f>
      </c>
      <c r="L221" s="41">
        <f>ROUND($C$72*(1+$D$72)^0/12,0)</f>
      </c>
      <c r="M221" s="41">
        <f>ROUND($C$72*(1+$D$72)^0/12,0)</f>
      </c>
      <c r="N221" s="41">
        <f>ROUND($C$72*(1+$D$72)^0/12,0)</f>
      </c>
      <c r="O221" s="41">
        <f>ROUND($C$72*(1+$D$72)^0/12,0)</f>
      </c>
      <c r="P221" s="42">
        <f>SUM(D221:O221)</f>
      </c>
      <c r="Q221" s="41">
        <f>ROUND($C$72*(1+$D$72)^1/12,0)</f>
      </c>
      <c r="R221" s="41">
        <f>ROUND($C$72*(1+$D$72)^1/12,0)</f>
      </c>
      <c r="S221" s="41">
        <f>ROUND($C$72*(1+$D$72)^1/12,0)</f>
      </c>
      <c r="T221" s="41">
        <f>ROUND($C$72*(1+$D$72)^1/12,0)</f>
      </c>
      <c r="U221" s="41">
        <f>ROUND($C$72*(1+$D$72)^1/12,0)</f>
      </c>
      <c r="V221" s="41">
        <f>ROUND($C$72*(1+$D$72)^1/12,0)</f>
      </c>
      <c r="W221" s="41">
        <f>ROUND($C$72*(1+$D$72)^1/12,0)</f>
      </c>
      <c r="X221" s="41">
        <f>ROUND($C$72*(1+$D$72)^1/12,0)</f>
      </c>
      <c r="Y221" s="41">
        <f>ROUND($C$72*(1+$D$72)^1/12,0)</f>
      </c>
      <c r="Z221" s="41">
        <f>ROUND($C$72*(1+$D$72)^1/12,0)</f>
      </c>
      <c r="AA221" s="41">
        <f>ROUND($C$72*(1+$D$72)^1/12,0)</f>
      </c>
      <c r="AB221" s="41">
        <f>ROUND($C$72*(1+$D$72)^1/12,0)</f>
      </c>
      <c r="AC221" s="42">
        <f>SUM(Q221:AB221)</f>
      </c>
      <c r="AD221" s="41">
        <f>ROUND($C$72*(1+$D$72)^2/12,0)</f>
      </c>
      <c r="AE221" s="41">
        <f>ROUND($C$72*(1+$D$72)^2/12,0)</f>
      </c>
      <c r="AF221" s="41">
        <f>ROUND($C$72*(1+$D$72)^2/12,0)</f>
      </c>
      <c r="AG221" s="41">
        <f>ROUND($C$72*(1+$D$72)^2/12,0)</f>
      </c>
      <c r="AH221" s="41">
        <f>ROUND($C$72*(1+$D$72)^2/12,0)</f>
      </c>
      <c r="AI221" s="41">
        <f>ROUND($C$72*(1+$D$72)^2/12,0)</f>
      </c>
      <c r="AJ221" s="41">
        <f>ROUND($C$72*(1+$D$72)^2/12,0)</f>
      </c>
      <c r="AK221" s="41">
        <f>ROUND($C$72*(1+$D$72)^2/12,0)</f>
      </c>
      <c r="AL221" s="41">
        <f>ROUND($C$72*(1+$D$72)^2/12,0)</f>
      </c>
      <c r="AM221" s="41">
        <f>ROUND($C$72*(1+$D$72)^2/12,0)</f>
      </c>
      <c r="AN221" s="41">
        <f>ROUND($C$72*(1+$D$72)^2/12,0)</f>
      </c>
      <c r="AO221" s="41">
        <f>ROUND($C$72*(1+$D$72)^2/12,0)</f>
      </c>
      <c r="AP221" s="42">
        <f>SUM(AD221:AO221)</f>
      </c>
    </row>
    <row r="222" hidden="1" spans="2:42" x14ac:dyDescent="0.25" outlineLevel="1" collapsed="1">
      <c r="B222" s="19" t="s">
        <v>139</v>
      </c>
      <c r="C222" s="40">
        <f>D73</f>
      </c>
      <c r="D222" s="41">
        <f>ROUND($C$73*(1+$D$73)^0/12,0)</f>
      </c>
      <c r="E222" s="41">
        <f>ROUND($C$73*(1+$D$73)^0/12,0)</f>
      </c>
      <c r="F222" s="41">
        <f>ROUND($C$73*(1+$D$73)^0/12,0)</f>
      </c>
      <c r="G222" s="41">
        <f>ROUND($C$73*(1+$D$73)^0/12,0)</f>
      </c>
      <c r="H222" s="41">
        <f>ROUND($C$73*(1+$D$73)^0/12,0)</f>
      </c>
      <c r="I222" s="41">
        <f>ROUND($C$73*(1+$D$73)^0/12,0)</f>
      </c>
      <c r="J222" s="41">
        <f>ROUND($C$73*(1+$D$73)^0/12,0)</f>
      </c>
      <c r="K222" s="41">
        <f>ROUND($C$73*(1+$D$73)^0/12,0)</f>
      </c>
      <c r="L222" s="41">
        <f>ROUND($C$73*(1+$D$73)^0/12,0)</f>
      </c>
      <c r="M222" s="41">
        <f>ROUND($C$73*(1+$D$73)^0/12,0)</f>
      </c>
      <c r="N222" s="41">
        <f>ROUND($C$73*(1+$D$73)^0/12,0)</f>
      </c>
      <c r="O222" s="41">
        <f>ROUND($C$73*(1+$D$73)^0/12,0)</f>
      </c>
      <c r="P222" s="42">
        <f>SUM(D222:O222)</f>
      </c>
      <c r="Q222" s="41">
        <f>ROUND($C$73*(1+$D$73)^1/12,0)</f>
      </c>
      <c r="R222" s="41">
        <f>ROUND($C$73*(1+$D$73)^1/12,0)</f>
      </c>
      <c r="S222" s="41">
        <f>ROUND($C$73*(1+$D$73)^1/12,0)</f>
      </c>
      <c r="T222" s="41">
        <f>ROUND($C$73*(1+$D$73)^1/12,0)</f>
      </c>
      <c r="U222" s="41">
        <f>ROUND($C$73*(1+$D$73)^1/12,0)</f>
      </c>
      <c r="V222" s="41">
        <f>ROUND($C$73*(1+$D$73)^1/12,0)</f>
      </c>
      <c r="W222" s="41">
        <f>ROUND($C$73*(1+$D$73)^1/12,0)</f>
      </c>
      <c r="X222" s="41">
        <f>ROUND($C$73*(1+$D$73)^1/12,0)</f>
      </c>
      <c r="Y222" s="41">
        <f>ROUND($C$73*(1+$D$73)^1/12,0)</f>
      </c>
      <c r="Z222" s="41">
        <f>ROUND($C$73*(1+$D$73)^1/12,0)</f>
      </c>
      <c r="AA222" s="41">
        <f>ROUND($C$73*(1+$D$73)^1/12,0)</f>
      </c>
      <c r="AB222" s="41">
        <f>ROUND($C$73*(1+$D$73)^1/12,0)</f>
      </c>
      <c r="AC222" s="42">
        <f>SUM(Q222:AB222)</f>
      </c>
      <c r="AD222" s="41">
        <f>ROUND($C$73*(1+$D$73)^2/12,0)</f>
      </c>
      <c r="AE222" s="41">
        <f>ROUND($C$73*(1+$D$73)^2/12,0)</f>
      </c>
      <c r="AF222" s="41">
        <f>ROUND($C$73*(1+$D$73)^2/12,0)</f>
      </c>
      <c r="AG222" s="41">
        <f>ROUND($C$73*(1+$D$73)^2/12,0)</f>
      </c>
      <c r="AH222" s="41">
        <f>ROUND($C$73*(1+$D$73)^2/12,0)</f>
      </c>
      <c r="AI222" s="41">
        <f>ROUND($C$73*(1+$D$73)^2/12,0)</f>
      </c>
      <c r="AJ222" s="41">
        <f>ROUND($C$73*(1+$D$73)^2/12,0)</f>
      </c>
      <c r="AK222" s="41">
        <f>ROUND($C$73*(1+$D$73)^2/12,0)</f>
      </c>
      <c r="AL222" s="41">
        <f>ROUND($C$73*(1+$D$73)^2/12,0)</f>
      </c>
      <c r="AM222" s="41">
        <f>ROUND($C$73*(1+$D$73)^2/12,0)</f>
      </c>
      <c r="AN222" s="41">
        <f>ROUND($C$73*(1+$D$73)^2/12,0)</f>
      </c>
      <c r="AO222" s="41">
        <f>ROUND($C$73*(1+$D$73)^2/12,0)</f>
      </c>
      <c r="AP222" s="42">
        <f>SUM(AD222:AO222)</f>
      </c>
    </row>
    <row r="223" hidden="1" spans="2:42" x14ac:dyDescent="0.25" outlineLevel="1" collapsed="1">
      <c r="B223" s="19" t="s">
        <v>140</v>
      </c>
      <c r="C223" s="40">
        <f>D74</f>
      </c>
      <c r="D223" s="41">
        <f>ROUND($C$74*(1+$D$74)^0/12,0)</f>
      </c>
      <c r="E223" s="41">
        <f>ROUND($C$74*(1+$D$74)^0/12,0)</f>
      </c>
      <c r="F223" s="41">
        <f>ROUND($C$74*(1+$D$74)^0/12,0)</f>
      </c>
      <c r="G223" s="41">
        <f>ROUND($C$74*(1+$D$74)^0/12,0)</f>
      </c>
      <c r="H223" s="41">
        <f>ROUND($C$74*(1+$D$74)^0/12,0)</f>
      </c>
      <c r="I223" s="41">
        <f>ROUND($C$74*(1+$D$74)^0/12,0)</f>
      </c>
      <c r="J223" s="41">
        <f>ROUND($C$74*(1+$D$74)^0/12,0)</f>
      </c>
      <c r="K223" s="41">
        <f>ROUND($C$74*(1+$D$74)^0/12,0)</f>
      </c>
      <c r="L223" s="41">
        <f>ROUND($C$74*(1+$D$74)^0/12,0)</f>
      </c>
      <c r="M223" s="41">
        <f>ROUND($C$74*(1+$D$74)^0/12,0)</f>
      </c>
      <c r="N223" s="41">
        <f>ROUND($C$74*(1+$D$74)^0/12,0)</f>
      </c>
      <c r="O223" s="41">
        <f>ROUND($C$74*(1+$D$74)^0/12,0)</f>
      </c>
      <c r="P223" s="42">
        <f>SUM(D223:O223)</f>
      </c>
      <c r="Q223" s="41">
        <f>ROUND($C$74*(1+$D$74)^1/12,0)</f>
      </c>
      <c r="R223" s="41">
        <f>ROUND($C$74*(1+$D$74)^1/12,0)</f>
      </c>
      <c r="S223" s="41">
        <f>ROUND($C$74*(1+$D$74)^1/12,0)</f>
      </c>
      <c r="T223" s="41">
        <f>ROUND($C$74*(1+$D$74)^1/12,0)</f>
      </c>
      <c r="U223" s="41">
        <f>ROUND($C$74*(1+$D$74)^1/12,0)</f>
      </c>
      <c r="V223" s="41">
        <f>ROUND($C$74*(1+$D$74)^1/12,0)</f>
      </c>
      <c r="W223" s="41">
        <f>ROUND($C$74*(1+$D$74)^1/12,0)</f>
      </c>
      <c r="X223" s="41">
        <f>ROUND($C$74*(1+$D$74)^1/12,0)</f>
      </c>
      <c r="Y223" s="41">
        <f>ROUND($C$74*(1+$D$74)^1/12,0)</f>
      </c>
      <c r="Z223" s="41">
        <f>ROUND($C$74*(1+$D$74)^1/12,0)</f>
      </c>
      <c r="AA223" s="41">
        <f>ROUND($C$74*(1+$D$74)^1/12,0)</f>
      </c>
      <c r="AB223" s="41">
        <f>ROUND($C$74*(1+$D$74)^1/12,0)</f>
      </c>
      <c r="AC223" s="42">
        <f>SUM(Q223:AB223)</f>
      </c>
      <c r="AD223" s="41">
        <f>ROUND($C$74*(1+$D$74)^2/12,0)</f>
      </c>
      <c r="AE223" s="41">
        <f>ROUND($C$74*(1+$D$74)^2/12,0)</f>
      </c>
      <c r="AF223" s="41">
        <f>ROUND($C$74*(1+$D$74)^2/12,0)</f>
      </c>
      <c r="AG223" s="41">
        <f>ROUND($C$74*(1+$D$74)^2/12,0)</f>
      </c>
      <c r="AH223" s="41">
        <f>ROUND($C$74*(1+$D$74)^2/12,0)</f>
      </c>
      <c r="AI223" s="41">
        <f>ROUND($C$74*(1+$D$74)^2/12,0)</f>
      </c>
      <c r="AJ223" s="41">
        <f>ROUND($C$74*(1+$D$74)^2/12,0)</f>
      </c>
      <c r="AK223" s="41">
        <f>ROUND($C$74*(1+$D$74)^2/12,0)</f>
      </c>
      <c r="AL223" s="41">
        <f>ROUND($C$74*(1+$D$74)^2/12,0)</f>
      </c>
      <c r="AM223" s="41">
        <f>ROUND($C$74*(1+$D$74)^2/12,0)</f>
      </c>
      <c r="AN223" s="41">
        <f>ROUND($C$74*(1+$D$74)^2/12,0)</f>
      </c>
      <c r="AO223" s="41">
        <f>ROUND($C$74*(1+$D$74)^2/12,0)</f>
      </c>
      <c r="AP223" s="42">
        <f>SUM(AD223:AO223)</f>
      </c>
    </row>
    <row r="224" hidden="1" spans="2:42" x14ac:dyDescent="0.25" outlineLevel="1" collapsed="1">
      <c r="B224" s="19" t="s">
        <v>141</v>
      </c>
      <c r="C224" s="40">
        <f>D75</f>
      </c>
      <c r="D224" s="41">
        <f>ROUND($C$75*(1+$D$75)^0/12,0)</f>
      </c>
      <c r="E224" s="41">
        <f>ROUND($C$75*(1+$D$75)^0/12,0)</f>
      </c>
      <c r="F224" s="41">
        <f>ROUND($C$75*(1+$D$75)^0/12,0)</f>
      </c>
      <c r="G224" s="41">
        <f>ROUND($C$75*(1+$D$75)^0/12,0)</f>
      </c>
      <c r="H224" s="41">
        <f>ROUND($C$75*(1+$D$75)^0/12,0)</f>
      </c>
      <c r="I224" s="41">
        <f>ROUND($C$75*(1+$D$75)^0/12,0)</f>
      </c>
      <c r="J224" s="41">
        <f>ROUND($C$75*(1+$D$75)^0/12,0)</f>
      </c>
      <c r="K224" s="41">
        <f>ROUND($C$75*(1+$D$75)^0/12,0)</f>
      </c>
      <c r="L224" s="41">
        <f>ROUND($C$75*(1+$D$75)^0/12,0)</f>
      </c>
      <c r="M224" s="41">
        <f>ROUND($C$75*(1+$D$75)^0/12,0)</f>
      </c>
      <c r="N224" s="41">
        <f>ROUND($C$75*(1+$D$75)^0/12,0)</f>
      </c>
      <c r="O224" s="41">
        <f>ROUND($C$75*(1+$D$75)^0/12,0)</f>
      </c>
      <c r="P224" s="42">
        <f>SUM(D224:O224)</f>
      </c>
      <c r="Q224" s="41">
        <f>ROUND($C$75*(1+$D$75)^1/12,0)</f>
      </c>
      <c r="R224" s="41">
        <f>ROUND($C$75*(1+$D$75)^1/12,0)</f>
      </c>
      <c r="S224" s="41">
        <f>ROUND($C$75*(1+$D$75)^1/12,0)</f>
      </c>
      <c r="T224" s="41">
        <f>ROUND($C$75*(1+$D$75)^1/12,0)</f>
      </c>
      <c r="U224" s="41">
        <f>ROUND($C$75*(1+$D$75)^1/12,0)</f>
      </c>
      <c r="V224" s="41">
        <f>ROUND($C$75*(1+$D$75)^1/12,0)</f>
      </c>
      <c r="W224" s="41">
        <f>ROUND($C$75*(1+$D$75)^1/12,0)</f>
      </c>
      <c r="X224" s="41">
        <f>ROUND($C$75*(1+$D$75)^1/12,0)</f>
      </c>
      <c r="Y224" s="41">
        <f>ROUND($C$75*(1+$D$75)^1/12,0)</f>
      </c>
      <c r="Z224" s="41">
        <f>ROUND($C$75*(1+$D$75)^1/12,0)</f>
      </c>
      <c r="AA224" s="41">
        <f>ROUND($C$75*(1+$D$75)^1/12,0)</f>
      </c>
      <c r="AB224" s="41">
        <f>ROUND($C$75*(1+$D$75)^1/12,0)</f>
      </c>
      <c r="AC224" s="42">
        <f>SUM(Q224:AB224)</f>
      </c>
      <c r="AD224" s="41">
        <f>ROUND($C$75*(1+$D$75)^2/12,0)</f>
      </c>
      <c r="AE224" s="41">
        <f>ROUND($C$75*(1+$D$75)^2/12,0)</f>
      </c>
      <c r="AF224" s="41">
        <f>ROUND($C$75*(1+$D$75)^2/12,0)</f>
      </c>
      <c r="AG224" s="41">
        <f>ROUND($C$75*(1+$D$75)^2/12,0)</f>
      </c>
      <c r="AH224" s="41">
        <f>ROUND($C$75*(1+$D$75)^2/12,0)</f>
      </c>
      <c r="AI224" s="41">
        <f>ROUND($C$75*(1+$D$75)^2/12,0)</f>
      </c>
      <c r="AJ224" s="41">
        <f>ROUND($C$75*(1+$D$75)^2/12,0)</f>
      </c>
      <c r="AK224" s="41">
        <f>ROUND($C$75*(1+$D$75)^2/12,0)</f>
      </c>
      <c r="AL224" s="41">
        <f>ROUND($C$75*(1+$D$75)^2/12,0)</f>
      </c>
      <c r="AM224" s="41">
        <f>ROUND($C$75*(1+$D$75)^2/12,0)</f>
      </c>
      <c r="AN224" s="41">
        <f>ROUND($C$75*(1+$D$75)^2/12,0)</f>
      </c>
      <c r="AO224" s="41">
        <f>ROUND($C$75*(1+$D$75)^2/12,0)</f>
      </c>
      <c r="AP224" s="42">
        <f>SUM(AD224:AO224)</f>
      </c>
    </row>
    <row r="225" hidden="1" spans="2:42" x14ac:dyDescent="0.25" outlineLevel="1" collapsed="1">
      <c r="B225" s="44" t="s">
        <v>142</v>
      </c>
      <c r="C225" s="45">
        <f>D76</f>
      </c>
      <c r="D225" s="46">
        <f>ROUND($C$76*(1+$D$76)^0/12,0)</f>
      </c>
      <c r="E225" s="46">
        <f>ROUND($C$76*(1+$D$76)^0/12,0)</f>
      </c>
      <c r="F225" s="46">
        <f>ROUND($C$76*(1+$D$76)^0/12,0)</f>
      </c>
      <c r="G225" s="46">
        <f>ROUND($C$76*(1+$D$76)^0/12,0)</f>
      </c>
      <c r="H225" s="46">
        <f>ROUND($C$76*(1+$D$76)^0/12,0)</f>
      </c>
      <c r="I225" s="46">
        <f>ROUND($C$76*(1+$D$76)^0/12,0)</f>
      </c>
      <c r="J225" s="46">
        <f>ROUND($C$76*(1+$D$76)^0/12,0)</f>
      </c>
      <c r="K225" s="46">
        <f>ROUND($C$76*(1+$D$76)^0/12,0)</f>
      </c>
      <c r="L225" s="46">
        <f>ROUND($C$76*(1+$D$76)^0/12,0)</f>
      </c>
      <c r="M225" s="46">
        <f>ROUND($C$76*(1+$D$76)^0/12,0)</f>
      </c>
      <c r="N225" s="46">
        <f>ROUND($C$76*(1+$D$76)^0/12,0)</f>
      </c>
      <c r="O225" s="46">
        <f>ROUND($C$76*(1+$D$76)^0/12,0)</f>
      </c>
      <c r="P225" s="47">
        <f>SUM(D225:O225)</f>
      </c>
      <c r="Q225" s="46">
        <f>ROUND($C$76*(1+$D$76)^1/12,0)</f>
      </c>
      <c r="R225" s="46">
        <f>ROUND($C$76*(1+$D$76)^1/12,0)</f>
      </c>
      <c r="S225" s="46">
        <f>ROUND($C$76*(1+$D$76)^1/12,0)</f>
      </c>
      <c r="T225" s="46">
        <f>ROUND($C$76*(1+$D$76)^1/12,0)</f>
      </c>
      <c r="U225" s="46">
        <f>ROUND($C$76*(1+$D$76)^1/12,0)</f>
      </c>
      <c r="V225" s="46">
        <f>ROUND($C$76*(1+$D$76)^1/12,0)</f>
      </c>
      <c r="W225" s="46">
        <f>ROUND($C$76*(1+$D$76)^1/12,0)</f>
      </c>
      <c r="X225" s="46">
        <f>ROUND($C$76*(1+$D$76)^1/12,0)</f>
      </c>
      <c r="Y225" s="46">
        <f>ROUND($C$76*(1+$D$76)^1/12,0)</f>
      </c>
      <c r="Z225" s="46">
        <f>ROUND($C$76*(1+$D$76)^1/12,0)</f>
      </c>
      <c r="AA225" s="46">
        <f>ROUND($C$76*(1+$D$76)^1/12,0)</f>
      </c>
      <c r="AB225" s="46">
        <f>ROUND($C$76*(1+$D$76)^1/12,0)</f>
      </c>
      <c r="AC225" s="47">
        <f>SUM(Q225:AB225)</f>
      </c>
      <c r="AD225" s="46">
        <f>ROUND($C$76*(1+$D$76)^2/12,0)</f>
      </c>
      <c r="AE225" s="46">
        <f>ROUND($C$76*(1+$D$76)^2/12,0)</f>
      </c>
      <c r="AF225" s="46">
        <f>ROUND($C$76*(1+$D$76)^2/12,0)</f>
      </c>
      <c r="AG225" s="46">
        <f>ROUND($C$76*(1+$D$76)^2/12,0)</f>
      </c>
      <c r="AH225" s="46">
        <f>ROUND($C$76*(1+$D$76)^2/12,0)</f>
      </c>
      <c r="AI225" s="46">
        <f>ROUND($C$76*(1+$D$76)^2/12,0)</f>
      </c>
      <c r="AJ225" s="46">
        <f>ROUND($C$76*(1+$D$76)^2/12,0)</f>
      </c>
      <c r="AK225" s="46">
        <f>ROUND($C$76*(1+$D$76)^2/12,0)</f>
      </c>
      <c r="AL225" s="46">
        <f>ROUND($C$76*(1+$D$76)^2/12,0)</f>
      </c>
      <c r="AM225" s="46">
        <f>ROUND($C$76*(1+$D$76)^2/12,0)</f>
      </c>
      <c r="AN225" s="46">
        <f>ROUND($C$76*(1+$D$76)^2/12,0)</f>
      </c>
      <c r="AO225" s="46">
        <f>ROUND($C$76*(1+$D$76)^2/12,0)</f>
      </c>
      <c r="AP225" s="47">
        <f>SUM(AD225:AO225)</f>
      </c>
    </row>
    <row r="226" hidden="1" spans="2:42" x14ac:dyDescent="0.25" outlineLevel="1" collapsed="1">
      <c r="B226" s="19" t="s">
        <v>267</v>
      </c>
      <c r="D226" s="48">
        <f>SUM(D221:D225)</f>
      </c>
      <c r="E226" s="48">
        <f>SUM(E221:E225)</f>
      </c>
      <c r="F226" s="48">
        <f>SUM(F221:F225)</f>
      </c>
      <c r="G226" s="48">
        <f>SUM(G221:G225)</f>
      </c>
      <c r="H226" s="48">
        <f>SUM(H221:H225)</f>
      </c>
      <c r="I226" s="48">
        <f>SUM(I221:I225)</f>
      </c>
      <c r="J226" s="48">
        <f>SUM(J221:J225)</f>
      </c>
      <c r="K226" s="48">
        <f>SUM(K221:K225)</f>
      </c>
      <c r="L226" s="48">
        <f>SUM(L221:L225)</f>
      </c>
      <c r="M226" s="48">
        <f>SUM(M221:M225)</f>
      </c>
      <c r="N226" s="48">
        <f>SUM(N221:N225)</f>
      </c>
      <c r="O226" s="48">
        <f>SUM(O221:O225)</f>
      </c>
      <c r="P226" s="42">
        <f>SUM(D226:O226)</f>
      </c>
      <c r="Q226" s="48">
        <f>SUM(Q221:Q225)</f>
      </c>
      <c r="R226" s="48">
        <f>SUM(R221:R225)</f>
      </c>
      <c r="S226" s="48">
        <f>SUM(S221:S225)</f>
      </c>
      <c r="T226" s="48">
        <f>SUM(T221:T225)</f>
      </c>
      <c r="U226" s="48">
        <f>SUM(U221:U225)</f>
      </c>
      <c r="V226" s="48">
        <f>SUM(V221:V225)</f>
      </c>
      <c r="W226" s="48">
        <f>SUM(W221:W225)</f>
      </c>
      <c r="X226" s="48">
        <f>SUM(X221:X225)</f>
      </c>
      <c r="Y226" s="48">
        <f>SUM(Y221:Y225)</f>
      </c>
      <c r="Z226" s="48">
        <f>SUM(Z221:Z225)</f>
      </c>
      <c r="AA226" s="48">
        <f>SUM(AA221:AA225)</f>
      </c>
      <c r="AB226" s="48">
        <f>SUM(AB221:AB225)</f>
      </c>
      <c r="AC226" s="42">
        <f>SUM(Q226:AB226)</f>
      </c>
      <c r="AD226" s="48">
        <f>SUM(AD221:AD225)</f>
      </c>
      <c r="AE226" s="48">
        <f>SUM(AE221:AE225)</f>
      </c>
      <c r="AF226" s="48">
        <f>SUM(AF221:AF225)</f>
      </c>
      <c r="AG226" s="48">
        <f>SUM(AG221:AG225)</f>
      </c>
      <c r="AH226" s="48">
        <f>SUM(AH221:AH225)</f>
      </c>
      <c r="AI226" s="48">
        <f>SUM(AI221:AI225)</f>
      </c>
      <c r="AJ226" s="48">
        <f>SUM(AJ221:AJ225)</f>
      </c>
      <c r="AK226" s="48">
        <f>SUM(AK221:AK225)</f>
      </c>
      <c r="AL226" s="48">
        <f>SUM(AL221:AL225)</f>
      </c>
      <c r="AM226" s="48">
        <f>SUM(AM221:AM225)</f>
      </c>
      <c r="AN226" s="48">
        <f>SUM(AN221:AN225)</f>
      </c>
      <c r="AO226" s="48">
        <f>SUM(AO221:AO225)</f>
      </c>
      <c r="AP226" s="42">
        <f>SUM(AD226:AO226)</f>
      </c>
    </row>
    <row r="227" hidden="1" spans="1:1" x14ac:dyDescent="0.25" outlineLevel="1" collapsed="1">
      <c r="A227" s="19" t="s">
        <v>261</v>
      </c>
    </row>
    <row r="228" ht="20" customHeight="1" hidden="1" spans="2:42" x14ac:dyDescent="0.25" outlineLevel="1" collapsed="1">
      <c r="B228" s="4" t="s">
        <v>268</v>
      </c>
      <c r="C228" s="5"/>
      <c r="D228" s="18" t="s">
        <v>220</v>
      </c>
      <c r="E228" s="18" t="s">
        <v>221</v>
      </c>
      <c r="F228" s="18" t="s">
        <v>222</v>
      </c>
      <c r="G228" s="18" t="s">
        <v>223</v>
      </c>
      <c r="H228" s="18" t="s">
        <v>224</v>
      </c>
      <c r="I228" s="18" t="s">
        <v>225</v>
      </c>
      <c r="J228" s="18" t="s">
        <v>226</v>
      </c>
      <c r="K228" s="18" t="s">
        <v>227</v>
      </c>
      <c r="L228" s="18" t="s">
        <v>228</v>
      </c>
      <c r="M228" s="18" t="s">
        <v>229</v>
      </c>
      <c r="N228" s="18" t="s">
        <v>230</v>
      </c>
      <c r="O228" s="18" t="s">
        <v>231</v>
      </c>
      <c r="P228" s="39" t="s">
        <v>232</v>
      </c>
      <c r="Q228" s="18" t="s">
        <v>233</v>
      </c>
      <c r="R228" s="18" t="s">
        <v>234</v>
      </c>
      <c r="S228" s="18" t="s">
        <v>235</v>
      </c>
      <c r="T228" s="18" t="s">
        <v>236</v>
      </c>
      <c r="U228" s="18" t="s">
        <v>237</v>
      </c>
      <c r="V228" s="18" t="s">
        <v>238</v>
      </c>
      <c r="W228" s="18" t="s">
        <v>239</v>
      </c>
      <c r="X228" s="18" t="s">
        <v>240</v>
      </c>
      <c r="Y228" s="18" t="s">
        <v>241</v>
      </c>
      <c r="Z228" s="18" t="s">
        <v>242</v>
      </c>
      <c r="AA228" s="18" t="s">
        <v>243</v>
      </c>
      <c r="AB228" s="18" t="s">
        <v>244</v>
      </c>
      <c r="AC228" s="39" t="s">
        <v>245</v>
      </c>
      <c r="AD228" s="18" t="s">
        <v>246</v>
      </c>
      <c r="AE228" s="18" t="s">
        <v>247</v>
      </c>
      <c r="AF228" s="18" t="s">
        <v>248</v>
      </c>
      <c r="AG228" s="18" t="s">
        <v>249</v>
      </c>
      <c r="AH228" s="18" t="s">
        <v>250</v>
      </c>
      <c r="AI228" s="18" t="s">
        <v>251</v>
      </c>
      <c r="AJ228" s="18" t="s">
        <v>252</v>
      </c>
      <c r="AK228" s="18" t="s">
        <v>253</v>
      </c>
      <c r="AL228" s="18" t="s">
        <v>254</v>
      </c>
      <c r="AM228" s="18" t="s">
        <v>255</v>
      </c>
      <c r="AN228" s="18" t="s">
        <v>256</v>
      </c>
      <c r="AO228" s="18" t="s">
        <v>257</v>
      </c>
      <c r="AP228" s="39" t="s">
        <v>258</v>
      </c>
    </row>
    <row r="229" hidden="1" spans="2:42" x14ac:dyDescent="0.25" outlineLevel="1" collapsed="1">
      <c r="B229" s="19" t="s">
        <v>269</v>
      </c>
      <c r="D229" s="48">
        <f>D193*$C$171+D194*$C$172+D195*$C$173+D196*$C$174+D197*$C$175+D198*$C$176+D199*$C$177+D200*$C$178+D201*$C$179+D202*$C$180+D203*$C$181+D204*$C$182</f>
      </c>
      <c r="E229" s="48">
        <f>E193*$C$171+E194*$C$172+E195*$C$173+E196*$C$174+E197*$C$175+E198*$C$176+E199*$C$177+E200*$C$178+E201*$C$179+E202*$C$180+E203*$C$181+E204*$C$182</f>
      </c>
      <c r="F229" s="48">
        <f>F193*$C$171+F194*$C$172+F195*$C$173+F196*$C$174+F197*$C$175+F198*$C$176+F199*$C$177+F200*$C$178+F201*$C$179+F202*$C$180+F203*$C$181+F204*$C$182</f>
      </c>
      <c r="G229" s="48">
        <f>G193*$C$171+G194*$C$172+G195*$C$173+G196*$C$174+G197*$C$175+G198*$C$176+G199*$C$177+G200*$C$178+G201*$C$179+G202*$C$180+G203*$C$181+G204*$C$182</f>
      </c>
      <c r="H229" s="48">
        <f>H193*$C$171+H194*$C$172+H195*$C$173+H196*$C$174+H197*$C$175+H198*$C$176+H199*$C$177+H200*$C$178+H201*$C$179+H202*$C$180+H203*$C$181+H204*$C$182</f>
      </c>
      <c r="I229" s="48">
        <f>I193*$C$171+I194*$C$172+I195*$C$173+I196*$C$174+I197*$C$175+I198*$C$176+I199*$C$177+I200*$C$178+I201*$C$179+I202*$C$180+I203*$C$181+I204*$C$182</f>
      </c>
      <c r="J229" s="48">
        <f>J193*$C$171+J194*$C$172+J195*$C$173+J196*$C$174+J197*$C$175+J198*$C$176+J199*$C$177+J200*$C$178+J201*$C$179+J202*$C$180+J203*$C$181+J204*$C$182</f>
      </c>
      <c r="K229" s="48">
        <f>K193*$C$171+K194*$C$172+K195*$C$173+K196*$C$174+K197*$C$175+K198*$C$176+K199*$C$177+K200*$C$178+K201*$C$179+K202*$C$180+K203*$C$181+K204*$C$182</f>
      </c>
      <c r="L229" s="48">
        <f>L193*$C$171+L194*$C$172+L195*$C$173+L196*$C$174+L197*$C$175+L198*$C$176+L199*$C$177+L200*$C$178+L201*$C$179+L202*$C$180+L203*$C$181+L204*$C$182</f>
      </c>
      <c r="M229" s="48">
        <f>M193*$C$171+M194*$C$172+M195*$C$173+M196*$C$174+M197*$C$175+M198*$C$176+M199*$C$177+M200*$C$178+M201*$C$179+M202*$C$180+M203*$C$181+M204*$C$182</f>
      </c>
      <c r="N229" s="48">
        <f>N193*$C$171+N194*$C$172+N195*$C$173+N196*$C$174+N197*$C$175+N198*$C$176+N199*$C$177+N200*$C$178+N201*$C$179+N202*$C$180+N203*$C$181+N204*$C$182</f>
      </c>
      <c r="O229" s="48">
        <f>O193*$C$171+O194*$C$172+O195*$C$173+O196*$C$174+O197*$C$175+O198*$C$176+O199*$C$177+O200*$C$178+O201*$C$179+O202*$C$180+O203*$C$181+O204*$C$182</f>
      </c>
      <c r="P229" s="42">
        <f>SUM(D229:O229)</f>
      </c>
      <c r="Q229" s="48">
        <f>(Q193*$C$171+Q194*$C$172+Q195*$C$173+Q196*$C$174+Q197*$C$175+Q198*$C$176+Q199*$C$177+Q200*$C$178+Q201*$C$179+Q202*$C$180+Q203*$C$181+Q204*$C$182)*(1+$C$170)^1</f>
      </c>
      <c r="R229" s="48">
        <f>(R193*$C$171+R194*$C$172+R195*$C$173+R196*$C$174+R197*$C$175+R198*$C$176+R199*$C$177+R200*$C$178+R201*$C$179+R202*$C$180+R203*$C$181+R204*$C$182)*(1+$C$170)^1</f>
      </c>
      <c r="S229" s="48">
        <f>(S193*$C$171+S194*$C$172+S195*$C$173+S196*$C$174+S197*$C$175+S198*$C$176+S199*$C$177+S200*$C$178+S201*$C$179+S202*$C$180+S203*$C$181+S204*$C$182)*(1+$C$170)^1</f>
      </c>
      <c r="T229" s="48">
        <f>(T193*$C$171+T194*$C$172+T195*$C$173+T196*$C$174+T197*$C$175+T198*$C$176+T199*$C$177+T200*$C$178+T201*$C$179+T202*$C$180+T203*$C$181+T204*$C$182)*(1+$C$170)^1</f>
      </c>
      <c r="U229" s="48">
        <f>(U193*$C$171+U194*$C$172+U195*$C$173+U196*$C$174+U197*$C$175+U198*$C$176+U199*$C$177+U200*$C$178+U201*$C$179+U202*$C$180+U203*$C$181+U204*$C$182)*(1+$C$170)^1</f>
      </c>
      <c r="V229" s="48">
        <f>(V193*$C$171+V194*$C$172+V195*$C$173+V196*$C$174+V197*$C$175+V198*$C$176+V199*$C$177+V200*$C$178+V201*$C$179+V202*$C$180+V203*$C$181+V204*$C$182)*(1+$C$170)^1</f>
      </c>
      <c r="W229" s="48">
        <f>(W193*$C$171+W194*$C$172+W195*$C$173+W196*$C$174+W197*$C$175+W198*$C$176+W199*$C$177+W200*$C$178+W201*$C$179+W202*$C$180+W203*$C$181+W204*$C$182)*(1+$C$170)^1</f>
      </c>
      <c r="X229" s="48">
        <f>(X193*$C$171+X194*$C$172+X195*$C$173+X196*$C$174+X197*$C$175+X198*$C$176+X199*$C$177+X200*$C$178+X201*$C$179+X202*$C$180+X203*$C$181+X204*$C$182)*(1+$C$170)^1</f>
      </c>
      <c r="Y229" s="48">
        <f>(Y193*$C$171+Y194*$C$172+Y195*$C$173+Y196*$C$174+Y197*$C$175+Y198*$C$176+Y199*$C$177+Y200*$C$178+Y201*$C$179+Y202*$C$180+Y203*$C$181+Y204*$C$182)*(1+$C$170)^1</f>
      </c>
      <c r="Z229" s="48">
        <f>(Z193*$C$171+Z194*$C$172+Z195*$C$173+Z196*$C$174+Z197*$C$175+Z198*$C$176+Z199*$C$177+Z200*$C$178+Z201*$C$179+Z202*$C$180+Z203*$C$181+Z204*$C$182)*(1+$C$170)^1</f>
      </c>
      <c r="AA229" s="48">
        <f>(AA193*$C$171+AA194*$C$172+AA195*$C$173+AA196*$C$174+AA197*$C$175+AA198*$C$176+AA199*$C$177+AA200*$C$178+AA201*$C$179+AA202*$C$180+AA203*$C$181+AA204*$C$182)*(1+$C$170)^1</f>
      </c>
      <c r="AB229" s="48">
        <f>(AB193*$C$171+AB194*$C$172+AB195*$C$173+AB196*$C$174+AB197*$C$175+AB198*$C$176+AB199*$C$177+AB200*$C$178+AB201*$C$179+AB202*$C$180+AB203*$C$181+AB204*$C$182)*(1+$C$170)^1</f>
      </c>
      <c r="AC229" s="42">
        <f>SUM(Q229:AB229)</f>
      </c>
      <c r="AD229" s="48">
        <f>(AD193*$C$171+AD194*$C$172+AD195*$C$173+AD196*$C$174+AD197*$C$175+AD198*$C$176+AD199*$C$177+AD200*$C$178+AD201*$C$179+AD202*$C$180+AD203*$C$181+AD204*$C$182)*(1+$C$170)^2</f>
      </c>
      <c r="AE229" s="48">
        <f>(AE193*$C$171+AE194*$C$172+AE195*$C$173+AE196*$C$174+AE197*$C$175+AE198*$C$176+AE199*$C$177+AE200*$C$178+AE201*$C$179+AE202*$C$180+AE203*$C$181+AE204*$C$182)*(1+$C$170)^2</f>
      </c>
      <c r="AF229" s="48">
        <f>(AF193*$C$171+AF194*$C$172+AF195*$C$173+AF196*$C$174+AF197*$C$175+AF198*$C$176+AF199*$C$177+AF200*$C$178+AF201*$C$179+AF202*$C$180+AF203*$C$181+AF204*$C$182)*(1+$C$170)^2</f>
      </c>
      <c r="AG229" s="48">
        <f>(AG193*$C$171+AG194*$C$172+AG195*$C$173+AG196*$C$174+AG197*$C$175+AG198*$C$176+AG199*$C$177+AG200*$C$178+AG201*$C$179+AG202*$C$180+AG203*$C$181+AG204*$C$182)*(1+$C$170)^2</f>
      </c>
      <c r="AH229" s="48">
        <f>(AH193*$C$171+AH194*$C$172+AH195*$C$173+AH196*$C$174+AH197*$C$175+AH198*$C$176+AH199*$C$177+AH200*$C$178+AH201*$C$179+AH202*$C$180+AH203*$C$181+AH204*$C$182)*(1+$C$170)^2</f>
      </c>
      <c r="AI229" s="48">
        <f>(AI193*$C$171+AI194*$C$172+AI195*$C$173+AI196*$C$174+AI197*$C$175+AI198*$C$176+AI199*$C$177+AI200*$C$178+AI201*$C$179+AI202*$C$180+AI203*$C$181+AI204*$C$182)*(1+$C$170)^2</f>
      </c>
      <c r="AJ229" s="48">
        <f>(AJ193*$C$171+AJ194*$C$172+AJ195*$C$173+AJ196*$C$174+AJ197*$C$175+AJ198*$C$176+AJ199*$C$177+AJ200*$C$178+AJ201*$C$179+AJ202*$C$180+AJ203*$C$181+AJ204*$C$182)*(1+$C$170)^2</f>
      </c>
      <c r="AK229" s="48">
        <f>(AK193*$C$171+AK194*$C$172+AK195*$C$173+AK196*$C$174+AK197*$C$175+AK198*$C$176+AK199*$C$177+AK200*$C$178+AK201*$C$179+AK202*$C$180+AK203*$C$181+AK204*$C$182)*(1+$C$170)^2</f>
      </c>
      <c r="AL229" s="48">
        <f>(AL193*$C$171+AL194*$C$172+AL195*$C$173+AL196*$C$174+AL197*$C$175+AL198*$C$176+AL199*$C$177+AL200*$C$178+AL201*$C$179+AL202*$C$180+AL203*$C$181+AL204*$C$182)*(1+$C$170)^2</f>
      </c>
      <c r="AM229" s="48">
        <f>(AM193*$C$171+AM194*$C$172+AM195*$C$173+AM196*$C$174+AM197*$C$175+AM198*$C$176+AM199*$C$177+AM200*$C$178+AM201*$C$179+AM202*$C$180+AM203*$C$181+AM204*$C$182)*(1+$C$170)^2</f>
      </c>
      <c r="AN229" s="48">
        <f>(AN193*$C$171+AN194*$C$172+AN195*$C$173+AN196*$C$174+AN197*$C$175+AN198*$C$176+AN199*$C$177+AN200*$C$178+AN201*$C$179+AN202*$C$180+AN203*$C$181+AN204*$C$182)*(1+$C$170)^2</f>
      </c>
      <c r="AO229" s="48">
        <f>(AO193*$C$171+AO194*$C$172+AO195*$C$173+AO196*$C$174+AO197*$C$175+AO198*$C$176+AO199*$C$177+AO200*$C$178+AO201*$C$179+AO202*$C$180+AO203*$C$181+AO204*$C$182)*(1+$C$170)^2</f>
      </c>
      <c r="AP229" s="42">
        <f>SUM(AD229:AO229)</f>
      </c>
    </row>
    <row r="230" hidden="1" spans="1:1" x14ac:dyDescent="0.25" outlineLevel="1" collapsed="1">
      <c r="A230" s="19" t="s">
        <v>261</v>
      </c>
    </row>
    <row r="231" ht="20" customHeight="1" hidden="1" spans="2:42" x14ac:dyDescent="0.25" outlineLevel="1" collapsed="1">
      <c r="B231" s="4" t="s">
        <v>270</v>
      </c>
      <c r="C231" s="5"/>
      <c r="D231" s="18" t="s">
        <v>220</v>
      </c>
      <c r="E231" s="18" t="s">
        <v>221</v>
      </c>
      <c r="F231" s="18" t="s">
        <v>222</v>
      </c>
      <c r="G231" s="18" t="s">
        <v>223</v>
      </c>
      <c r="H231" s="18" t="s">
        <v>224</v>
      </c>
      <c r="I231" s="18" t="s">
        <v>225</v>
      </c>
      <c r="J231" s="18" t="s">
        <v>226</v>
      </c>
      <c r="K231" s="18" t="s">
        <v>227</v>
      </c>
      <c r="L231" s="18" t="s">
        <v>228</v>
      </c>
      <c r="M231" s="18" t="s">
        <v>229</v>
      </c>
      <c r="N231" s="18" t="s">
        <v>230</v>
      </c>
      <c r="O231" s="18" t="s">
        <v>231</v>
      </c>
      <c r="P231" s="39" t="s">
        <v>232</v>
      </c>
      <c r="Q231" s="18" t="s">
        <v>233</v>
      </c>
      <c r="R231" s="18" t="s">
        <v>234</v>
      </c>
      <c r="S231" s="18" t="s">
        <v>235</v>
      </c>
      <c r="T231" s="18" t="s">
        <v>236</v>
      </c>
      <c r="U231" s="18" t="s">
        <v>237</v>
      </c>
      <c r="V231" s="18" t="s">
        <v>238</v>
      </c>
      <c r="W231" s="18" t="s">
        <v>239</v>
      </c>
      <c r="X231" s="18" t="s">
        <v>240</v>
      </c>
      <c r="Y231" s="18" t="s">
        <v>241</v>
      </c>
      <c r="Z231" s="18" t="s">
        <v>242</v>
      </c>
      <c r="AA231" s="18" t="s">
        <v>243</v>
      </c>
      <c r="AB231" s="18" t="s">
        <v>244</v>
      </c>
      <c r="AC231" s="39" t="s">
        <v>245</v>
      </c>
      <c r="AD231" s="18" t="s">
        <v>246</v>
      </c>
      <c r="AE231" s="18" t="s">
        <v>247</v>
      </c>
      <c r="AF231" s="18" t="s">
        <v>248</v>
      </c>
      <c r="AG231" s="18" t="s">
        <v>249</v>
      </c>
      <c r="AH231" s="18" t="s">
        <v>250</v>
      </c>
      <c r="AI231" s="18" t="s">
        <v>251</v>
      </c>
      <c r="AJ231" s="18" t="s">
        <v>252</v>
      </c>
      <c r="AK231" s="18" t="s">
        <v>253</v>
      </c>
      <c r="AL231" s="18" t="s">
        <v>254</v>
      </c>
      <c r="AM231" s="18" t="s">
        <v>255</v>
      </c>
      <c r="AN231" s="18" t="s">
        <v>256</v>
      </c>
      <c r="AO231" s="18" t="s">
        <v>257</v>
      </c>
      <c r="AP231" s="39" t="s">
        <v>258</v>
      </c>
    </row>
    <row r="232" hidden="1" spans="2:42" x14ac:dyDescent="0.25" outlineLevel="1" collapsed="1">
      <c r="B232" s="19" t="s">
        <v>271</v>
      </c>
      <c r="D232" s="41">
        <f>IF(DATE(2026,1,1)=DATE($F$81,$E$81,1),C81,0)+IF(DATE(2026,1,1)=DATE($F$82,$E$82,1),C82,0)+IF(DATE(2026,1,1)=DATE($F$83,$E$83,1),C83,0)+IF(DATE(2026,1,1)=DATE($F$84,$E$84,1),C84,0)+IF(DATE(2026,1,1)=DATE($F$85,$E$85,1),C85,0)+IF(DATE(2026,1,1)=DATE($F$86,$E$86,1),C86,0)+IF(DATE(2026,1,1)=DATE($F$87,$E$87,1),C87,0)+IF(DATE(2026,1,1)=DATE($F$88,$E$88,1),C88,0)</f>
      </c>
      <c r="E232" s="41">
        <f>IF(DATE(2026,2,1)=DATE($F$81,$E$81,1),C81,0)+IF(DATE(2026,2,1)=DATE($F$82,$E$82,1),C82,0)+IF(DATE(2026,2,1)=DATE($F$83,$E$83,1),C83,0)+IF(DATE(2026,2,1)=DATE($F$84,$E$84,1),C84,0)+IF(DATE(2026,2,1)=DATE($F$85,$E$85,1),C85,0)+IF(DATE(2026,2,1)=DATE($F$86,$E$86,1),C86,0)+IF(DATE(2026,2,1)=DATE($F$87,$E$87,1),C87,0)+IF(DATE(2026,2,1)=DATE($F$88,$E$88,1),C88,0)</f>
      </c>
      <c r="F232" s="41">
        <f>IF(DATE(2026,3,1)=DATE($F$81,$E$81,1),C81,0)+IF(DATE(2026,3,1)=DATE($F$82,$E$82,1),C82,0)+IF(DATE(2026,3,1)=DATE($F$83,$E$83,1),C83,0)+IF(DATE(2026,3,1)=DATE($F$84,$E$84,1),C84,0)+IF(DATE(2026,3,1)=DATE($F$85,$E$85,1),C85,0)+IF(DATE(2026,3,1)=DATE($F$86,$E$86,1),C86,0)+IF(DATE(2026,3,1)=DATE($F$87,$E$87,1),C87,0)+IF(DATE(2026,3,1)=DATE($F$88,$E$88,1),C88,0)</f>
      </c>
      <c r="G232" s="41">
        <f>IF(DATE(2026,4,1)=DATE($F$81,$E$81,1),C81,0)+IF(DATE(2026,4,1)=DATE($F$82,$E$82,1),C82,0)+IF(DATE(2026,4,1)=DATE($F$83,$E$83,1),C83,0)+IF(DATE(2026,4,1)=DATE($F$84,$E$84,1),C84,0)+IF(DATE(2026,4,1)=DATE($F$85,$E$85,1),C85,0)+IF(DATE(2026,4,1)=DATE($F$86,$E$86,1),C86,0)+IF(DATE(2026,4,1)=DATE($F$87,$E$87,1),C87,0)+IF(DATE(2026,4,1)=DATE($F$88,$E$88,1),C88,0)</f>
      </c>
      <c r="H232" s="41">
        <f>IF(DATE(2026,5,1)=DATE($F$81,$E$81,1),C81,0)+IF(DATE(2026,5,1)=DATE($F$82,$E$82,1),C82,0)+IF(DATE(2026,5,1)=DATE($F$83,$E$83,1),C83,0)+IF(DATE(2026,5,1)=DATE($F$84,$E$84,1),C84,0)+IF(DATE(2026,5,1)=DATE($F$85,$E$85,1),C85,0)+IF(DATE(2026,5,1)=DATE($F$86,$E$86,1),C86,0)+IF(DATE(2026,5,1)=DATE($F$87,$E$87,1),C87,0)+IF(DATE(2026,5,1)=DATE($F$88,$E$88,1),C88,0)</f>
      </c>
      <c r="I232" s="41">
        <f>IF(DATE(2026,6,1)=DATE($F$81,$E$81,1),C81,0)+IF(DATE(2026,6,1)=DATE($F$82,$E$82,1),C82,0)+IF(DATE(2026,6,1)=DATE($F$83,$E$83,1),C83,0)+IF(DATE(2026,6,1)=DATE($F$84,$E$84,1),C84,0)+IF(DATE(2026,6,1)=DATE($F$85,$E$85,1),C85,0)+IF(DATE(2026,6,1)=DATE($F$86,$E$86,1),C86,0)+IF(DATE(2026,6,1)=DATE($F$87,$E$87,1),C87,0)+IF(DATE(2026,6,1)=DATE($F$88,$E$88,1),C88,0)</f>
      </c>
      <c r="J232" s="41">
        <f>IF(DATE(2026,7,1)=DATE($F$81,$E$81,1),C81,0)+IF(DATE(2026,7,1)=DATE($F$82,$E$82,1),C82,0)+IF(DATE(2026,7,1)=DATE($F$83,$E$83,1),C83,0)+IF(DATE(2026,7,1)=DATE($F$84,$E$84,1),C84,0)+IF(DATE(2026,7,1)=DATE($F$85,$E$85,1),C85,0)+IF(DATE(2026,7,1)=DATE($F$86,$E$86,1),C86,0)+IF(DATE(2026,7,1)=DATE($F$87,$E$87,1),C87,0)+IF(DATE(2026,7,1)=DATE($F$88,$E$88,1),C88,0)</f>
      </c>
      <c r="K232" s="41">
        <f>IF(DATE(2026,8,1)=DATE($F$81,$E$81,1),C81,0)+IF(DATE(2026,8,1)=DATE($F$82,$E$82,1),C82,0)+IF(DATE(2026,8,1)=DATE($F$83,$E$83,1),C83,0)+IF(DATE(2026,8,1)=DATE($F$84,$E$84,1),C84,0)+IF(DATE(2026,8,1)=DATE($F$85,$E$85,1),C85,0)+IF(DATE(2026,8,1)=DATE($F$86,$E$86,1),C86,0)+IF(DATE(2026,8,1)=DATE($F$87,$E$87,1),C87,0)+IF(DATE(2026,8,1)=DATE($F$88,$E$88,1),C88,0)</f>
      </c>
      <c r="L232" s="41">
        <f>IF(DATE(2026,9,1)=DATE($F$81,$E$81,1),C81,0)+IF(DATE(2026,9,1)=DATE($F$82,$E$82,1),C82,0)+IF(DATE(2026,9,1)=DATE($F$83,$E$83,1),C83,0)+IF(DATE(2026,9,1)=DATE($F$84,$E$84,1),C84,0)+IF(DATE(2026,9,1)=DATE($F$85,$E$85,1),C85,0)+IF(DATE(2026,9,1)=DATE($F$86,$E$86,1),C86,0)+IF(DATE(2026,9,1)=DATE($F$87,$E$87,1),C87,0)+IF(DATE(2026,9,1)=DATE($F$88,$E$88,1),C88,0)</f>
      </c>
      <c r="M232" s="41">
        <f>IF(DATE(2026,10,1)=DATE($F$81,$E$81,1),C81,0)+IF(DATE(2026,10,1)=DATE($F$82,$E$82,1),C82,0)+IF(DATE(2026,10,1)=DATE($F$83,$E$83,1),C83,0)+IF(DATE(2026,10,1)=DATE($F$84,$E$84,1),C84,0)+IF(DATE(2026,10,1)=DATE($F$85,$E$85,1),C85,0)+IF(DATE(2026,10,1)=DATE($F$86,$E$86,1),C86,0)+IF(DATE(2026,10,1)=DATE($F$87,$E$87,1),C87,0)+IF(DATE(2026,10,1)=DATE($F$88,$E$88,1),C88,0)</f>
      </c>
      <c r="N232" s="41">
        <f>IF(DATE(2026,11,1)=DATE($F$81,$E$81,1),C81,0)+IF(DATE(2026,11,1)=DATE($F$82,$E$82,1),C82,0)+IF(DATE(2026,11,1)=DATE($F$83,$E$83,1),C83,0)+IF(DATE(2026,11,1)=DATE($F$84,$E$84,1),C84,0)+IF(DATE(2026,11,1)=DATE($F$85,$E$85,1),C85,0)+IF(DATE(2026,11,1)=DATE($F$86,$E$86,1),C86,0)+IF(DATE(2026,11,1)=DATE($F$87,$E$87,1),C87,0)+IF(DATE(2026,11,1)=DATE($F$88,$E$88,1),C88,0)</f>
      </c>
      <c r="O232" s="41">
        <f>IF(DATE(2026,12,1)=DATE($F$81,$E$81,1),C81,0)+IF(DATE(2026,12,1)=DATE($F$82,$E$82,1),C82,0)+IF(DATE(2026,12,1)=DATE($F$83,$E$83,1),C83,0)+IF(DATE(2026,12,1)=DATE($F$84,$E$84,1),C84,0)+IF(DATE(2026,12,1)=DATE($F$85,$E$85,1),C85,0)+IF(DATE(2026,12,1)=DATE($F$86,$E$86,1),C86,0)+IF(DATE(2026,12,1)=DATE($F$87,$E$87,1),C87,0)+IF(DATE(2026,12,1)=DATE($F$88,$E$88,1),C88,0)</f>
      </c>
      <c r="P232" s="42">
        <f>SUM(D232:O232)</f>
      </c>
      <c r="Q232" s="41">
        <f>IF(DATE(2027,1,1)=DATE($F$81,$E$81,1),C81,0)+IF(DATE(2027,1,1)=DATE($F$82,$E$82,1),C82,0)+IF(DATE(2027,1,1)=DATE($F$83,$E$83,1),C83,0)+IF(DATE(2027,1,1)=DATE($F$84,$E$84,1),C84,0)+IF(DATE(2027,1,1)=DATE($F$85,$E$85,1),C85,0)+IF(DATE(2027,1,1)=DATE($F$86,$E$86,1),C86,0)+IF(DATE(2027,1,1)=DATE($F$87,$E$87,1),C87,0)+IF(DATE(2027,1,1)=DATE($F$88,$E$88,1),C88,0)</f>
      </c>
      <c r="R232" s="41">
        <f>IF(DATE(2027,2,1)=DATE($F$81,$E$81,1),C81,0)+IF(DATE(2027,2,1)=DATE($F$82,$E$82,1),C82,0)+IF(DATE(2027,2,1)=DATE($F$83,$E$83,1),C83,0)+IF(DATE(2027,2,1)=DATE($F$84,$E$84,1),C84,0)+IF(DATE(2027,2,1)=DATE($F$85,$E$85,1),C85,0)+IF(DATE(2027,2,1)=DATE($F$86,$E$86,1),C86,0)+IF(DATE(2027,2,1)=DATE($F$87,$E$87,1),C87,0)+IF(DATE(2027,2,1)=DATE($F$88,$E$88,1),C88,0)</f>
      </c>
      <c r="S232" s="41">
        <f>IF(DATE(2027,3,1)=DATE($F$81,$E$81,1),C81,0)+IF(DATE(2027,3,1)=DATE($F$82,$E$82,1),C82,0)+IF(DATE(2027,3,1)=DATE($F$83,$E$83,1),C83,0)+IF(DATE(2027,3,1)=DATE($F$84,$E$84,1),C84,0)+IF(DATE(2027,3,1)=DATE($F$85,$E$85,1),C85,0)+IF(DATE(2027,3,1)=DATE($F$86,$E$86,1),C86,0)+IF(DATE(2027,3,1)=DATE($F$87,$E$87,1),C87,0)+IF(DATE(2027,3,1)=DATE($F$88,$E$88,1),C88,0)</f>
      </c>
      <c r="T232" s="41">
        <f>IF(DATE(2027,4,1)=DATE($F$81,$E$81,1),C81,0)+IF(DATE(2027,4,1)=DATE($F$82,$E$82,1),C82,0)+IF(DATE(2027,4,1)=DATE($F$83,$E$83,1),C83,0)+IF(DATE(2027,4,1)=DATE($F$84,$E$84,1),C84,0)+IF(DATE(2027,4,1)=DATE($F$85,$E$85,1),C85,0)+IF(DATE(2027,4,1)=DATE($F$86,$E$86,1),C86,0)+IF(DATE(2027,4,1)=DATE($F$87,$E$87,1),C87,0)+IF(DATE(2027,4,1)=DATE($F$88,$E$88,1),C88,0)</f>
      </c>
      <c r="U232" s="41">
        <f>IF(DATE(2027,5,1)=DATE($F$81,$E$81,1),C81,0)+IF(DATE(2027,5,1)=DATE($F$82,$E$82,1),C82,0)+IF(DATE(2027,5,1)=DATE($F$83,$E$83,1),C83,0)+IF(DATE(2027,5,1)=DATE($F$84,$E$84,1),C84,0)+IF(DATE(2027,5,1)=DATE($F$85,$E$85,1),C85,0)+IF(DATE(2027,5,1)=DATE($F$86,$E$86,1),C86,0)+IF(DATE(2027,5,1)=DATE($F$87,$E$87,1),C87,0)+IF(DATE(2027,5,1)=DATE($F$88,$E$88,1),C88,0)</f>
      </c>
      <c r="V232" s="41">
        <f>IF(DATE(2027,6,1)=DATE($F$81,$E$81,1),C81,0)+IF(DATE(2027,6,1)=DATE($F$82,$E$82,1),C82,0)+IF(DATE(2027,6,1)=DATE($F$83,$E$83,1),C83,0)+IF(DATE(2027,6,1)=DATE($F$84,$E$84,1),C84,0)+IF(DATE(2027,6,1)=DATE($F$85,$E$85,1),C85,0)+IF(DATE(2027,6,1)=DATE($F$86,$E$86,1),C86,0)+IF(DATE(2027,6,1)=DATE($F$87,$E$87,1),C87,0)+IF(DATE(2027,6,1)=DATE($F$88,$E$88,1),C88,0)</f>
      </c>
      <c r="W232" s="41">
        <f>IF(DATE(2027,7,1)=DATE($F$81,$E$81,1),C81,0)+IF(DATE(2027,7,1)=DATE($F$82,$E$82,1),C82,0)+IF(DATE(2027,7,1)=DATE($F$83,$E$83,1),C83,0)+IF(DATE(2027,7,1)=DATE($F$84,$E$84,1),C84,0)+IF(DATE(2027,7,1)=DATE($F$85,$E$85,1),C85,0)+IF(DATE(2027,7,1)=DATE($F$86,$E$86,1),C86,0)+IF(DATE(2027,7,1)=DATE($F$87,$E$87,1),C87,0)+IF(DATE(2027,7,1)=DATE($F$88,$E$88,1),C88,0)</f>
      </c>
      <c r="X232" s="41">
        <f>IF(DATE(2027,8,1)=DATE($F$81,$E$81,1),C81,0)+IF(DATE(2027,8,1)=DATE($F$82,$E$82,1),C82,0)+IF(DATE(2027,8,1)=DATE($F$83,$E$83,1),C83,0)+IF(DATE(2027,8,1)=DATE($F$84,$E$84,1),C84,0)+IF(DATE(2027,8,1)=DATE($F$85,$E$85,1),C85,0)+IF(DATE(2027,8,1)=DATE($F$86,$E$86,1),C86,0)+IF(DATE(2027,8,1)=DATE($F$87,$E$87,1),C87,0)+IF(DATE(2027,8,1)=DATE($F$88,$E$88,1),C88,0)</f>
      </c>
      <c r="Y232" s="41">
        <f>IF(DATE(2027,9,1)=DATE($F$81,$E$81,1),C81,0)+IF(DATE(2027,9,1)=DATE($F$82,$E$82,1),C82,0)+IF(DATE(2027,9,1)=DATE($F$83,$E$83,1),C83,0)+IF(DATE(2027,9,1)=DATE($F$84,$E$84,1),C84,0)+IF(DATE(2027,9,1)=DATE($F$85,$E$85,1),C85,0)+IF(DATE(2027,9,1)=DATE($F$86,$E$86,1),C86,0)+IF(DATE(2027,9,1)=DATE($F$87,$E$87,1),C87,0)+IF(DATE(2027,9,1)=DATE($F$88,$E$88,1),C88,0)</f>
      </c>
      <c r="Z232" s="41">
        <f>IF(DATE(2027,10,1)=DATE($F$81,$E$81,1),C81,0)+IF(DATE(2027,10,1)=DATE($F$82,$E$82,1),C82,0)+IF(DATE(2027,10,1)=DATE($F$83,$E$83,1),C83,0)+IF(DATE(2027,10,1)=DATE($F$84,$E$84,1),C84,0)+IF(DATE(2027,10,1)=DATE($F$85,$E$85,1),C85,0)+IF(DATE(2027,10,1)=DATE($F$86,$E$86,1),C86,0)+IF(DATE(2027,10,1)=DATE($F$87,$E$87,1),C87,0)+IF(DATE(2027,10,1)=DATE($F$88,$E$88,1),C88,0)</f>
      </c>
      <c r="AA232" s="41">
        <f>IF(DATE(2027,11,1)=DATE($F$81,$E$81,1),C81,0)+IF(DATE(2027,11,1)=DATE($F$82,$E$82,1),C82,0)+IF(DATE(2027,11,1)=DATE($F$83,$E$83,1),C83,0)+IF(DATE(2027,11,1)=DATE($F$84,$E$84,1),C84,0)+IF(DATE(2027,11,1)=DATE($F$85,$E$85,1),C85,0)+IF(DATE(2027,11,1)=DATE($F$86,$E$86,1),C86,0)+IF(DATE(2027,11,1)=DATE($F$87,$E$87,1),C87,0)+IF(DATE(2027,11,1)=DATE($F$88,$E$88,1),C88,0)</f>
      </c>
      <c r="AB232" s="41">
        <f>IF(DATE(2027,12,1)=DATE($F$81,$E$81,1),C81,0)+IF(DATE(2027,12,1)=DATE($F$82,$E$82,1),C82,0)+IF(DATE(2027,12,1)=DATE($F$83,$E$83,1),C83,0)+IF(DATE(2027,12,1)=DATE($F$84,$E$84,1),C84,0)+IF(DATE(2027,12,1)=DATE($F$85,$E$85,1),C85,0)+IF(DATE(2027,12,1)=DATE($F$86,$E$86,1),C86,0)+IF(DATE(2027,12,1)=DATE($F$87,$E$87,1),C87,0)+IF(DATE(2027,12,1)=DATE($F$88,$E$88,1),C88,0)</f>
      </c>
      <c r="AC232" s="42">
        <f>SUM(Q232:AB232)</f>
      </c>
      <c r="AD232" s="41">
        <f>IF(DATE(2028,1,1)=DATE($F$81,$E$81,1),C81,0)+IF(DATE(2028,1,1)=DATE($F$82,$E$82,1),C82,0)+IF(DATE(2028,1,1)=DATE($F$83,$E$83,1),C83,0)+IF(DATE(2028,1,1)=DATE($F$84,$E$84,1),C84,0)+IF(DATE(2028,1,1)=DATE($F$85,$E$85,1),C85,0)+IF(DATE(2028,1,1)=DATE($F$86,$E$86,1),C86,0)+IF(DATE(2028,1,1)=DATE($F$87,$E$87,1),C87,0)+IF(DATE(2028,1,1)=DATE($F$88,$E$88,1),C88,0)</f>
      </c>
      <c r="AE232" s="41">
        <f>IF(DATE(2028,2,1)=DATE($F$81,$E$81,1),C81,0)+IF(DATE(2028,2,1)=DATE($F$82,$E$82,1),C82,0)+IF(DATE(2028,2,1)=DATE($F$83,$E$83,1),C83,0)+IF(DATE(2028,2,1)=DATE($F$84,$E$84,1),C84,0)+IF(DATE(2028,2,1)=DATE($F$85,$E$85,1),C85,0)+IF(DATE(2028,2,1)=DATE($F$86,$E$86,1),C86,0)+IF(DATE(2028,2,1)=DATE($F$87,$E$87,1),C87,0)+IF(DATE(2028,2,1)=DATE($F$88,$E$88,1),C88,0)</f>
      </c>
      <c r="AF232" s="41">
        <f>IF(DATE(2028,3,1)=DATE($F$81,$E$81,1),C81,0)+IF(DATE(2028,3,1)=DATE($F$82,$E$82,1),C82,0)+IF(DATE(2028,3,1)=DATE($F$83,$E$83,1),C83,0)+IF(DATE(2028,3,1)=DATE($F$84,$E$84,1),C84,0)+IF(DATE(2028,3,1)=DATE($F$85,$E$85,1),C85,0)+IF(DATE(2028,3,1)=DATE($F$86,$E$86,1),C86,0)+IF(DATE(2028,3,1)=DATE($F$87,$E$87,1),C87,0)+IF(DATE(2028,3,1)=DATE($F$88,$E$88,1),C88,0)</f>
      </c>
      <c r="AG232" s="41">
        <f>IF(DATE(2028,4,1)=DATE($F$81,$E$81,1),C81,0)+IF(DATE(2028,4,1)=DATE($F$82,$E$82,1),C82,0)+IF(DATE(2028,4,1)=DATE($F$83,$E$83,1),C83,0)+IF(DATE(2028,4,1)=DATE($F$84,$E$84,1),C84,0)+IF(DATE(2028,4,1)=DATE($F$85,$E$85,1),C85,0)+IF(DATE(2028,4,1)=DATE($F$86,$E$86,1),C86,0)+IF(DATE(2028,4,1)=DATE($F$87,$E$87,1),C87,0)+IF(DATE(2028,4,1)=DATE($F$88,$E$88,1),C88,0)</f>
      </c>
      <c r="AH232" s="41">
        <f>IF(DATE(2028,5,1)=DATE($F$81,$E$81,1),C81,0)+IF(DATE(2028,5,1)=DATE($F$82,$E$82,1),C82,0)+IF(DATE(2028,5,1)=DATE($F$83,$E$83,1),C83,0)+IF(DATE(2028,5,1)=DATE($F$84,$E$84,1),C84,0)+IF(DATE(2028,5,1)=DATE($F$85,$E$85,1),C85,0)+IF(DATE(2028,5,1)=DATE($F$86,$E$86,1),C86,0)+IF(DATE(2028,5,1)=DATE($F$87,$E$87,1),C87,0)+IF(DATE(2028,5,1)=DATE($F$88,$E$88,1),C88,0)</f>
      </c>
      <c r="AI232" s="41">
        <f>IF(DATE(2028,6,1)=DATE($F$81,$E$81,1),C81,0)+IF(DATE(2028,6,1)=DATE($F$82,$E$82,1),C82,0)+IF(DATE(2028,6,1)=DATE($F$83,$E$83,1),C83,0)+IF(DATE(2028,6,1)=DATE($F$84,$E$84,1),C84,0)+IF(DATE(2028,6,1)=DATE($F$85,$E$85,1),C85,0)+IF(DATE(2028,6,1)=DATE($F$86,$E$86,1),C86,0)+IF(DATE(2028,6,1)=DATE($F$87,$E$87,1),C87,0)+IF(DATE(2028,6,1)=DATE($F$88,$E$88,1),C88,0)</f>
      </c>
      <c r="AJ232" s="41">
        <f>IF(DATE(2028,7,1)=DATE($F$81,$E$81,1),C81,0)+IF(DATE(2028,7,1)=DATE($F$82,$E$82,1),C82,0)+IF(DATE(2028,7,1)=DATE($F$83,$E$83,1),C83,0)+IF(DATE(2028,7,1)=DATE($F$84,$E$84,1),C84,0)+IF(DATE(2028,7,1)=DATE($F$85,$E$85,1),C85,0)+IF(DATE(2028,7,1)=DATE($F$86,$E$86,1),C86,0)+IF(DATE(2028,7,1)=DATE($F$87,$E$87,1),C87,0)+IF(DATE(2028,7,1)=DATE($F$88,$E$88,1),C88,0)</f>
      </c>
      <c r="AK232" s="41">
        <f>IF(DATE(2028,8,1)=DATE($F$81,$E$81,1),C81,0)+IF(DATE(2028,8,1)=DATE($F$82,$E$82,1),C82,0)+IF(DATE(2028,8,1)=DATE($F$83,$E$83,1),C83,0)+IF(DATE(2028,8,1)=DATE($F$84,$E$84,1),C84,0)+IF(DATE(2028,8,1)=DATE($F$85,$E$85,1),C85,0)+IF(DATE(2028,8,1)=DATE($F$86,$E$86,1),C86,0)+IF(DATE(2028,8,1)=DATE($F$87,$E$87,1),C87,0)+IF(DATE(2028,8,1)=DATE($F$88,$E$88,1),C88,0)</f>
      </c>
      <c r="AL232" s="41">
        <f>IF(DATE(2028,9,1)=DATE($F$81,$E$81,1),C81,0)+IF(DATE(2028,9,1)=DATE($F$82,$E$82,1),C82,0)+IF(DATE(2028,9,1)=DATE($F$83,$E$83,1),C83,0)+IF(DATE(2028,9,1)=DATE($F$84,$E$84,1),C84,0)+IF(DATE(2028,9,1)=DATE($F$85,$E$85,1),C85,0)+IF(DATE(2028,9,1)=DATE($F$86,$E$86,1),C86,0)+IF(DATE(2028,9,1)=DATE($F$87,$E$87,1),C87,0)+IF(DATE(2028,9,1)=DATE($F$88,$E$88,1),C88,0)</f>
      </c>
      <c r="AM232" s="41">
        <f>IF(DATE(2028,10,1)=DATE($F$81,$E$81,1),C81,0)+IF(DATE(2028,10,1)=DATE($F$82,$E$82,1),C82,0)+IF(DATE(2028,10,1)=DATE($F$83,$E$83,1),C83,0)+IF(DATE(2028,10,1)=DATE($F$84,$E$84,1),C84,0)+IF(DATE(2028,10,1)=DATE($F$85,$E$85,1),C85,0)+IF(DATE(2028,10,1)=DATE($F$86,$E$86,1),C86,0)+IF(DATE(2028,10,1)=DATE($F$87,$E$87,1),C87,0)+IF(DATE(2028,10,1)=DATE($F$88,$E$88,1),C88,0)</f>
      </c>
      <c r="AN232" s="41">
        <f>IF(DATE(2028,11,1)=DATE($F$81,$E$81,1),C81,0)+IF(DATE(2028,11,1)=DATE($F$82,$E$82,1),C82,0)+IF(DATE(2028,11,1)=DATE($F$83,$E$83,1),C83,0)+IF(DATE(2028,11,1)=DATE($F$84,$E$84,1),C84,0)+IF(DATE(2028,11,1)=DATE($F$85,$E$85,1),C85,0)+IF(DATE(2028,11,1)=DATE($F$86,$E$86,1),C86,0)+IF(DATE(2028,11,1)=DATE($F$87,$E$87,1),C87,0)+IF(DATE(2028,11,1)=DATE($F$88,$E$88,1),C88,0)</f>
      </c>
      <c r="AO232" s="41">
        <f>IF(DATE(2028,12,1)=DATE($F$81,$E$81,1),C81,0)+IF(DATE(2028,12,1)=DATE($F$82,$E$82,1),C82,0)+IF(DATE(2028,12,1)=DATE($F$83,$E$83,1),C83,0)+IF(DATE(2028,12,1)=DATE($F$84,$E$84,1),C84,0)+IF(DATE(2028,12,1)=DATE($F$85,$E$85,1),C85,0)+IF(DATE(2028,12,1)=DATE($F$86,$E$86,1),C86,0)+IF(DATE(2028,12,1)=DATE($F$87,$E$87,1),C87,0)+IF(DATE(2028,12,1)=DATE($F$88,$E$88,1),C88,0)</f>
      </c>
      <c r="AP232" s="42">
        <f>SUM(AD232:AO232)</f>
      </c>
    </row>
    <row r="233" hidden="1" spans="2:42" x14ac:dyDescent="0.25" outlineLevel="1" collapsed="1">
      <c r="B233" s="19" t="s">
        <v>272</v>
      </c>
      <c r="D233" s="41">
        <f>IF(AND(DATE(2026,1,1)&gt;=DATE($F$81,$E$81,1),DATE(2026,1,1)&lt;DATE($F$81,$E$81+D81*12,1)),ROUND(C81/(D81*12),0),0)+IF(AND(DATE(2026,1,1)&gt;=DATE($F$82,$E$82,1),DATE(2026,1,1)&lt;DATE($F$82,$E$82+D82*12,1)),ROUND(C82/(D82*12),0),0)+IF(AND(DATE(2026,1,1)&gt;=DATE($F$83,$E$83,1),DATE(2026,1,1)&lt;DATE($F$83,$E$83+D83*12,1)),ROUND(C83/(D83*12),0),0)+IF(AND(DATE(2026,1,1)&gt;=DATE($F$84,$E$84,1),DATE(2026,1,1)&lt;DATE($F$84,$E$84+D84*12,1)),ROUND(C84/(D84*12),0),0)+IF(AND(DATE(2026,1,1)&gt;=DATE($F$85,$E$85,1),DATE(2026,1,1)&lt;DATE($F$85,$E$85+D85*12,1)),ROUND(C85/(D85*12),0),0)+IF(AND(DATE(2026,1,1)&gt;=DATE($F$86,$E$86,1),DATE(2026,1,1)&lt;DATE($F$86,$E$86+D86*12,1)),ROUND(C86/(D86*12),0),0)+IF(AND(DATE(2026,1,1)&gt;=DATE($F$87,$E$87,1),DATE(2026,1,1)&lt;DATE($F$87,$E$87+D87*12,1)),ROUND(C87/(D87*12),0),0)+IF(AND(DATE(2026,1,1)&gt;=DATE($F$88,$E$88,1),DATE(2026,1,1)&lt;DATE($F$88,$E$88+D88*12,1)),ROUND(C88/(D88*12),0),0)+IF(DATE(2026,1,1)&lt;DATE(E93,D93,1),ROUND(C93/12,0),0)+IF(DATE(2026,1,1)&lt;DATE(E94,D94,1),ROUND(C94/12,0),0)+IF(DATE(2026,1,1)&lt;DATE(E95,D95,1),ROUND(C95/12,0),0)+IF(DATE(2026,1,1)&lt;DATE(E96,D96,1),ROUND(C96/12,0),0)+IF(DATE(2026,1,1)&lt;DATE(E97,D97,1),ROUND(C97/12,0),0)+IF(DATE(2026,1,1)&lt;DATE(E98,D98,1),ROUND(C98/12,0),0)+IF(DATE(2026,1,1)&lt;DATE(E99,D99,1),ROUND(C99/12,0),0)</f>
      </c>
      <c r="E233" s="41">
        <f>IF(AND(DATE(2026,2,1)&gt;=DATE($F$81,$E$81,1),DATE(2026,2,1)&lt;DATE($F$81,$E$81+D81*12,1)),ROUND(C81/(D81*12),0),0)+IF(AND(DATE(2026,2,1)&gt;=DATE($F$82,$E$82,1),DATE(2026,2,1)&lt;DATE($F$82,$E$82+D82*12,1)),ROUND(C82/(D82*12),0),0)+IF(AND(DATE(2026,2,1)&gt;=DATE($F$83,$E$83,1),DATE(2026,2,1)&lt;DATE($F$83,$E$83+D83*12,1)),ROUND(C83/(D83*12),0),0)+IF(AND(DATE(2026,2,1)&gt;=DATE($F$84,$E$84,1),DATE(2026,2,1)&lt;DATE($F$84,$E$84+D84*12,1)),ROUND(C84/(D84*12),0),0)+IF(AND(DATE(2026,2,1)&gt;=DATE($F$85,$E$85,1),DATE(2026,2,1)&lt;DATE($F$85,$E$85+D85*12,1)),ROUND(C85/(D85*12),0),0)+IF(AND(DATE(2026,2,1)&gt;=DATE($F$86,$E$86,1),DATE(2026,2,1)&lt;DATE($F$86,$E$86+D86*12,1)),ROUND(C86/(D86*12),0),0)+IF(AND(DATE(2026,2,1)&gt;=DATE($F$87,$E$87,1),DATE(2026,2,1)&lt;DATE($F$87,$E$87+D87*12,1)),ROUND(C87/(D87*12),0),0)+IF(AND(DATE(2026,2,1)&gt;=DATE($F$88,$E$88,1),DATE(2026,2,1)&lt;DATE($F$88,$E$88+D88*12,1)),ROUND(C88/(D88*12),0),0)+IF(DATE(2026,2,1)&lt;DATE(E93,D93,1),ROUND(C93/12,0),0)+IF(DATE(2026,2,1)&lt;DATE(E94,D94,1),ROUND(C94/12,0),0)+IF(DATE(2026,2,1)&lt;DATE(E95,D95,1),ROUND(C95/12,0),0)+IF(DATE(2026,2,1)&lt;DATE(E96,D96,1),ROUND(C96/12,0),0)+IF(DATE(2026,2,1)&lt;DATE(E97,D97,1),ROUND(C97/12,0),0)+IF(DATE(2026,2,1)&lt;DATE(E98,D98,1),ROUND(C98/12,0),0)+IF(DATE(2026,2,1)&lt;DATE(E99,D99,1),ROUND(C99/12,0),0)</f>
      </c>
      <c r="F233" s="41">
        <f>IF(AND(DATE(2026,3,1)&gt;=DATE($F$81,$E$81,1),DATE(2026,3,1)&lt;DATE($F$81,$E$81+D81*12,1)),ROUND(C81/(D81*12),0),0)+IF(AND(DATE(2026,3,1)&gt;=DATE($F$82,$E$82,1),DATE(2026,3,1)&lt;DATE($F$82,$E$82+D82*12,1)),ROUND(C82/(D82*12),0),0)+IF(AND(DATE(2026,3,1)&gt;=DATE($F$83,$E$83,1),DATE(2026,3,1)&lt;DATE($F$83,$E$83+D83*12,1)),ROUND(C83/(D83*12),0),0)+IF(AND(DATE(2026,3,1)&gt;=DATE($F$84,$E$84,1),DATE(2026,3,1)&lt;DATE($F$84,$E$84+D84*12,1)),ROUND(C84/(D84*12),0),0)+IF(AND(DATE(2026,3,1)&gt;=DATE($F$85,$E$85,1),DATE(2026,3,1)&lt;DATE($F$85,$E$85+D85*12,1)),ROUND(C85/(D85*12),0),0)+IF(AND(DATE(2026,3,1)&gt;=DATE($F$86,$E$86,1),DATE(2026,3,1)&lt;DATE($F$86,$E$86+D86*12,1)),ROUND(C86/(D86*12),0),0)+IF(AND(DATE(2026,3,1)&gt;=DATE($F$87,$E$87,1),DATE(2026,3,1)&lt;DATE($F$87,$E$87+D87*12,1)),ROUND(C87/(D87*12),0),0)+IF(AND(DATE(2026,3,1)&gt;=DATE($F$88,$E$88,1),DATE(2026,3,1)&lt;DATE($F$88,$E$88+D88*12,1)),ROUND(C88/(D88*12),0),0)+IF(DATE(2026,3,1)&lt;DATE(E93,D93,1),ROUND(C93/12,0),0)+IF(DATE(2026,3,1)&lt;DATE(E94,D94,1),ROUND(C94/12,0),0)+IF(DATE(2026,3,1)&lt;DATE(E95,D95,1),ROUND(C95/12,0),0)+IF(DATE(2026,3,1)&lt;DATE(E96,D96,1),ROUND(C96/12,0),0)+IF(DATE(2026,3,1)&lt;DATE(E97,D97,1),ROUND(C97/12,0),0)+IF(DATE(2026,3,1)&lt;DATE(E98,D98,1),ROUND(C98/12,0),0)+IF(DATE(2026,3,1)&lt;DATE(E99,D99,1),ROUND(C99/12,0),0)</f>
      </c>
      <c r="G233" s="41">
        <f>IF(AND(DATE(2026,4,1)&gt;=DATE($F$81,$E$81,1),DATE(2026,4,1)&lt;DATE($F$81,$E$81+D81*12,1)),ROUND(C81/(D81*12),0),0)+IF(AND(DATE(2026,4,1)&gt;=DATE($F$82,$E$82,1),DATE(2026,4,1)&lt;DATE($F$82,$E$82+D82*12,1)),ROUND(C82/(D82*12),0),0)+IF(AND(DATE(2026,4,1)&gt;=DATE($F$83,$E$83,1),DATE(2026,4,1)&lt;DATE($F$83,$E$83+D83*12,1)),ROUND(C83/(D83*12),0),0)+IF(AND(DATE(2026,4,1)&gt;=DATE($F$84,$E$84,1),DATE(2026,4,1)&lt;DATE($F$84,$E$84+D84*12,1)),ROUND(C84/(D84*12),0),0)+IF(AND(DATE(2026,4,1)&gt;=DATE($F$85,$E$85,1),DATE(2026,4,1)&lt;DATE($F$85,$E$85+D85*12,1)),ROUND(C85/(D85*12),0),0)+IF(AND(DATE(2026,4,1)&gt;=DATE($F$86,$E$86,1),DATE(2026,4,1)&lt;DATE($F$86,$E$86+D86*12,1)),ROUND(C86/(D86*12),0),0)+IF(AND(DATE(2026,4,1)&gt;=DATE($F$87,$E$87,1),DATE(2026,4,1)&lt;DATE($F$87,$E$87+D87*12,1)),ROUND(C87/(D87*12),0),0)+IF(AND(DATE(2026,4,1)&gt;=DATE($F$88,$E$88,1),DATE(2026,4,1)&lt;DATE($F$88,$E$88+D88*12,1)),ROUND(C88/(D88*12),0),0)+IF(DATE(2026,4,1)&lt;DATE(E93,D93,1),ROUND(C93/12,0),0)+IF(DATE(2026,4,1)&lt;DATE(E94,D94,1),ROUND(C94/12,0),0)+IF(DATE(2026,4,1)&lt;DATE(E95,D95,1),ROUND(C95/12,0),0)+IF(DATE(2026,4,1)&lt;DATE(E96,D96,1),ROUND(C96/12,0),0)+IF(DATE(2026,4,1)&lt;DATE(E97,D97,1),ROUND(C97/12,0),0)+IF(DATE(2026,4,1)&lt;DATE(E98,D98,1),ROUND(C98/12,0),0)+IF(DATE(2026,4,1)&lt;DATE(E99,D99,1),ROUND(C99/12,0),0)</f>
      </c>
      <c r="H233" s="41">
        <f>IF(AND(DATE(2026,5,1)&gt;=DATE($F$81,$E$81,1),DATE(2026,5,1)&lt;DATE($F$81,$E$81+D81*12,1)),ROUND(C81/(D81*12),0),0)+IF(AND(DATE(2026,5,1)&gt;=DATE($F$82,$E$82,1),DATE(2026,5,1)&lt;DATE($F$82,$E$82+D82*12,1)),ROUND(C82/(D82*12),0),0)+IF(AND(DATE(2026,5,1)&gt;=DATE($F$83,$E$83,1),DATE(2026,5,1)&lt;DATE($F$83,$E$83+D83*12,1)),ROUND(C83/(D83*12),0),0)+IF(AND(DATE(2026,5,1)&gt;=DATE($F$84,$E$84,1),DATE(2026,5,1)&lt;DATE($F$84,$E$84+D84*12,1)),ROUND(C84/(D84*12),0),0)+IF(AND(DATE(2026,5,1)&gt;=DATE($F$85,$E$85,1),DATE(2026,5,1)&lt;DATE($F$85,$E$85+D85*12,1)),ROUND(C85/(D85*12),0),0)+IF(AND(DATE(2026,5,1)&gt;=DATE($F$86,$E$86,1),DATE(2026,5,1)&lt;DATE($F$86,$E$86+D86*12,1)),ROUND(C86/(D86*12),0),0)+IF(AND(DATE(2026,5,1)&gt;=DATE($F$87,$E$87,1),DATE(2026,5,1)&lt;DATE($F$87,$E$87+D87*12,1)),ROUND(C87/(D87*12),0),0)+IF(AND(DATE(2026,5,1)&gt;=DATE($F$88,$E$88,1),DATE(2026,5,1)&lt;DATE($F$88,$E$88+D88*12,1)),ROUND(C88/(D88*12),0),0)+IF(DATE(2026,5,1)&lt;DATE(E93,D93,1),ROUND(C93/12,0),0)+IF(DATE(2026,5,1)&lt;DATE(E94,D94,1),ROUND(C94/12,0),0)+IF(DATE(2026,5,1)&lt;DATE(E95,D95,1),ROUND(C95/12,0),0)+IF(DATE(2026,5,1)&lt;DATE(E96,D96,1),ROUND(C96/12,0),0)+IF(DATE(2026,5,1)&lt;DATE(E97,D97,1),ROUND(C97/12,0),0)+IF(DATE(2026,5,1)&lt;DATE(E98,D98,1),ROUND(C98/12,0),0)+IF(DATE(2026,5,1)&lt;DATE(E99,D99,1),ROUND(C99/12,0),0)</f>
      </c>
      <c r="I233" s="41">
        <f>IF(AND(DATE(2026,6,1)&gt;=DATE($F$81,$E$81,1),DATE(2026,6,1)&lt;DATE($F$81,$E$81+D81*12,1)),ROUND(C81/(D81*12),0),0)+IF(AND(DATE(2026,6,1)&gt;=DATE($F$82,$E$82,1),DATE(2026,6,1)&lt;DATE($F$82,$E$82+D82*12,1)),ROUND(C82/(D82*12),0),0)+IF(AND(DATE(2026,6,1)&gt;=DATE($F$83,$E$83,1),DATE(2026,6,1)&lt;DATE($F$83,$E$83+D83*12,1)),ROUND(C83/(D83*12),0),0)+IF(AND(DATE(2026,6,1)&gt;=DATE($F$84,$E$84,1),DATE(2026,6,1)&lt;DATE($F$84,$E$84+D84*12,1)),ROUND(C84/(D84*12),0),0)+IF(AND(DATE(2026,6,1)&gt;=DATE($F$85,$E$85,1),DATE(2026,6,1)&lt;DATE($F$85,$E$85+D85*12,1)),ROUND(C85/(D85*12),0),0)+IF(AND(DATE(2026,6,1)&gt;=DATE($F$86,$E$86,1),DATE(2026,6,1)&lt;DATE($F$86,$E$86+D86*12,1)),ROUND(C86/(D86*12),0),0)+IF(AND(DATE(2026,6,1)&gt;=DATE($F$87,$E$87,1),DATE(2026,6,1)&lt;DATE($F$87,$E$87+D87*12,1)),ROUND(C87/(D87*12),0),0)+IF(AND(DATE(2026,6,1)&gt;=DATE($F$88,$E$88,1),DATE(2026,6,1)&lt;DATE($F$88,$E$88+D88*12,1)),ROUND(C88/(D88*12),0),0)+IF(DATE(2026,6,1)&lt;DATE(E93,D93,1),ROUND(C93/12,0),0)+IF(DATE(2026,6,1)&lt;DATE(E94,D94,1),ROUND(C94/12,0),0)+IF(DATE(2026,6,1)&lt;DATE(E95,D95,1),ROUND(C95/12,0),0)+IF(DATE(2026,6,1)&lt;DATE(E96,D96,1),ROUND(C96/12,0),0)+IF(DATE(2026,6,1)&lt;DATE(E97,D97,1),ROUND(C97/12,0),0)+IF(DATE(2026,6,1)&lt;DATE(E98,D98,1),ROUND(C98/12,0),0)+IF(DATE(2026,6,1)&lt;DATE(E99,D99,1),ROUND(C99/12,0),0)</f>
      </c>
      <c r="J233" s="41">
        <f>IF(AND(DATE(2026,7,1)&gt;=DATE($F$81,$E$81,1),DATE(2026,7,1)&lt;DATE($F$81,$E$81+D81*12,1)),ROUND(C81/(D81*12),0),0)+IF(AND(DATE(2026,7,1)&gt;=DATE($F$82,$E$82,1),DATE(2026,7,1)&lt;DATE($F$82,$E$82+D82*12,1)),ROUND(C82/(D82*12),0),0)+IF(AND(DATE(2026,7,1)&gt;=DATE($F$83,$E$83,1),DATE(2026,7,1)&lt;DATE($F$83,$E$83+D83*12,1)),ROUND(C83/(D83*12),0),0)+IF(AND(DATE(2026,7,1)&gt;=DATE($F$84,$E$84,1),DATE(2026,7,1)&lt;DATE($F$84,$E$84+D84*12,1)),ROUND(C84/(D84*12),0),0)+IF(AND(DATE(2026,7,1)&gt;=DATE($F$85,$E$85,1),DATE(2026,7,1)&lt;DATE($F$85,$E$85+D85*12,1)),ROUND(C85/(D85*12),0),0)+IF(AND(DATE(2026,7,1)&gt;=DATE($F$86,$E$86,1),DATE(2026,7,1)&lt;DATE($F$86,$E$86+D86*12,1)),ROUND(C86/(D86*12),0),0)+IF(AND(DATE(2026,7,1)&gt;=DATE($F$87,$E$87,1),DATE(2026,7,1)&lt;DATE($F$87,$E$87+D87*12,1)),ROUND(C87/(D87*12),0),0)+IF(AND(DATE(2026,7,1)&gt;=DATE($F$88,$E$88,1),DATE(2026,7,1)&lt;DATE($F$88,$E$88+D88*12,1)),ROUND(C88/(D88*12),0),0)+IF(DATE(2026,7,1)&lt;DATE(E93,D93,1),ROUND(C93/12,0),0)+IF(DATE(2026,7,1)&lt;DATE(E94,D94,1),ROUND(C94/12,0),0)+IF(DATE(2026,7,1)&lt;DATE(E95,D95,1),ROUND(C95/12,0),0)+IF(DATE(2026,7,1)&lt;DATE(E96,D96,1),ROUND(C96/12,0),0)+IF(DATE(2026,7,1)&lt;DATE(E97,D97,1),ROUND(C97/12,0),0)+IF(DATE(2026,7,1)&lt;DATE(E98,D98,1),ROUND(C98/12,0),0)+IF(DATE(2026,7,1)&lt;DATE(E99,D99,1),ROUND(C99/12,0),0)</f>
      </c>
      <c r="K233" s="41">
        <f>IF(AND(DATE(2026,8,1)&gt;=DATE($F$81,$E$81,1),DATE(2026,8,1)&lt;DATE($F$81,$E$81+D81*12,1)),ROUND(C81/(D81*12),0),0)+IF(AND(DATE(2026,8,1)&gt;=DATE($F$82,$E$82,1),DATE(2026,8,1)&lt;DATE($F$82,$E$82+D82*12,1)),ROUND(C82/(D82*12),0),0)+IF(AND(DATE(2026,8,1)&gt;=DATE($F$83,$E$83,1),DATE(2026,8,1)&lt;DATE($F$83,$E$83+D83*12,1)),ROUND(C83/(D83*12),0),0)+IF(AND(DATE(2026,8,1)&gt;=DATE($F$84,$E$84,1),DATE(2026,8,1)&lt;DATE($F$84,$E$84+D84*12,1)),ROUND(C84/(D84*12),0),0)+IF(AND(DATE(2026,8,1)&gt;=DATE($F$85,$E$85,1),DATE(2026,8,1)&lt;DATE($F$85,$E$85+D85*12,1)),ROUND(C85/(D85*12),0),0)+IF(AND(DATE(2026,8,1)&gt;=DATE($F$86,$E$86,1),DATE(2026,8,1)&lt;DATE($F$86,$E$86+D86*12,1)),ROUND(C86/(D86*12),0),0)+IF(AND(DATE(2026,8,1)&gt;=DATE($F$87,$E$87,1),DATE(2026,8,1)&lt;DATE($F$87,$E$87+D87*12,1)),ROUND(C87/(D87*12),0),0)+IF(AND(DATE(2026,8,1)&gt;=DATE($F$88,$E$88,1),DATE(2026,8,1)&lt;DATE($F$88,$E$88+D88*12,1)),ROUND(C88/(D88*12),0),0)+IF(DATE(2026,8,1)&lt;DATE(E93,D93,1),ROUND(C93/12,0),0)+IF(DATE(2026,8,1)&lt;DATE(E94,D94,1),ROUND(C94/12,0),0)+IF(DATE(2026,8,1)&lt;DATE(E95,D95,1),ROUND(C95/12,0),0)+IF(DATE(2026,8,1)&lt;DATE(E96,D96,1),ROUND(C96/12,0),0)+IF(DATE(2026,8,1)&lt;DATE(E97,D97,1),ROUND(C97/12,0),0)+IF(DATE(2026,8,1)&lt;DATE(E98,D98,1),ROUND(C98/12,0),0)+IF(DATE(2026,8,1)&lt;DATE(E99,D99,1),ROUND(C99/12,0),0)</f>
      </c>
      <c r="L233" s="41">
        <f>IF(AND(DATE(2026,9,1)&gt;=DATE($F$81,$E$81,1),DATE(2026,9,1)&lt;DATE($F$81,$E$81+D81*12,1)),ROUND(C81/(D81*12),0),0)+IF(AND(DATE(2026,9,1)&gt;=DATE($F$82,$E$82,1),DATE(2026,9,1)&lt;DATE($F$82,$E$82+D82*12,1)),ROUND(C82/(D82*12),0),0)+IF(AND(DATE(2026,9,1)&gt;=DATE($F$83,$E$83,1),DATE(2026,9,1)&lt;DATE($F$83,$E$83+D83*12,1)),ROUND(C83/(D83*12),0),0)+IF(AND(DATE(2026,9,1)&gt;=DATE($F$84,$E$84,1),DATE(2026,9,1)&lt;DATE($F$84,$E$84+D84*12,1)),ROUND(C84/(D84*12),0),0)+IF(AND(DATE(2026,9,1)&gt;=DATE($F$85,$E$85,1),DATE(2026,9,1)&lt;DATE($F$85,$E$85+D85*12,1)),ROUND(C85/(D85*12),0),0)+IF(AND(DATE(2026,9,1)&gt;=DATE($F$86,$E$86,1),DATE(2026,9,1)&lt;DATE($F$86,$E$86+D86*12,1)),ROUND(C86/(D86*12),0),0)+IF(AND(DATE(2026,9,1)&gt;=DATE($F$87,$E$87,1),DATE(2026,9,1)&lt;DATE($F$87,$E$87+D87*12,1)),ROUND(C87/(D87*12),0),0)+IF(AND(DATE(2026,9,1)&gt;=DATE($F$88,$E$88,1),DATE(2026,9,1)&lt;DATE($F$88,$E$88+D88*12,1)),ROUND(C88/(D88*12),0),0)+IF(DATE(2026,9,1)&lt;DATE(E93,D93,1),ROUND(C93/12,0),0)+IF(DATE(2026,9,1)&lt;DATE(E94,D94,1),ROUND(C94/12,0),0)+IF(DATE(2026,9,1)&lt;DATE(E95,D95,1),ROUND(C95/12,0),0)+IF(DATE(2026,9,1)&lt;DATE(E96,D96,1),ROUND(C96/12,0),0)+IF(DATE(2026,9,1)&lt;DATE(E97,D97,1),ROUND(C97/12,0),0)+IF(DATE(2026,9,1)&lt;DATE(E98,D98,1),ROUND(C98/12,0),0)+IF(DATE(2026,9,1)&lt;DATE(E99,D99,1),ROUND(C99/12,0),0)</f>
      </c>
      <c r="M233" s="41">
        <f>IF(AND(DATE(2026,10,1)&gt;=DATE($F$81,$E$81,1),DATE(2026,10,1)&lt;DATE($F$81,$E$81+D81*12,1)),ROUND(C81/(D81*12),0),0)+IF(AND(DATE(2026,10,1)&gt;=DATE($F$82,$E$82,1),DATE(2026,10,1)&lt;DATE($F$82,$E$82+D82*12,1)),ROUND(C82/(D82*12),0),0)+IF(AND(DATE(2026,10,1)&gt;=DATE($F$83,$E$83,1),DATE(2026,10,1)&lt;DATE($F$83,$E$83+D83*12,1)),ROUND(C83/(D83*12),0),0)+IF(AND(DATE(2026,10,1)&gt;=DATE($F$84,$E$84,1),DATE(2026,10,1)&lt;DATE($F$84,$E$84+D84*12,1)),ROUND(C84/(D84*12),0),0)+IF(AND(DATE(2026,10,1)&gt;=DATE($F$85,$E$85,1),DATE(2026,10,1)&lt;DATE($F$85,$E$85+D85*12,1)),ROUND(C85/(D85*12),0),0)+IF(AND(DATE(2026,10,1)&gt;=DATE($F$86,$E$86,1),DATE(2026,10,1)&lt;DATE($F$86,$E$86+D86*12,1)),ROUND(C86/(D86*12),0),0)+IF(AND(DATE(2026,10,1)&gt;=DATE($F$87,$E$87,1),DATE(2026,10,1)&lt;DATE($F$87,$E$87+D87*12,1)),ROUND(C87/(D87*12),0),0)+IF(AND(DATE(2026,10,1)&gt;=DATE($F$88,$E$88,1),DATE(2026,10,1)&lt;DATE($F$88,$E$88+D88*12,1)),ROUND(C88/(D88*12),0),0)+IF(DATE(2026,10,1)&lt;DATE(E93,D93,1),ROUND(C93/12,0),0)+IF(DATE(2026,10,1)&lt;DATE(E94,D94,1),ROUND(C94/12,0),0)+IF(DATE(2026,10,1)&lt;DATE(E95,D95,1),ROUND(C95/12,0),0)+IF(DATE(2026,10,1)&lt;DATE(E96,D96,1),ROUND(C96/12,0),0)+IF(DATE(2026,10,1)&lt;DATE(E97,D97,1),ROUND(C97/12,0),0)+IF(DATE(2026,10,1)&lt;DATE(E98,D98,1),ROUND(C98/12,0),0)+IF(DATE(2026,10,1)&lt;DATE(E99,D99,1),ROUND(C99/12,0),0)</f>
      </c>
      <c r="N233" s="41">
        <f>IF(AND(DATE(2026,11,1)&gt;=DATE($F$81,$E$81,1),DATE(2026,11,1)&lt;DATE($F$81,$E$81+D81*12,1)),ROUND(C81/(D81*12),0),0)+IF(AND(DATE(2026,11,1)&gt;=DATE($F$82,$E$82,1),DATE(2026,11,1)&lt;DATE($F$82,$E$82+D82*12,1)),ROUND(C82/(D82*12),0),0)+IF(AND(DATE(2026,11,1)&gt;=DATE($F$83,$E$83,1),DATE(2026,11,1)&lt;DATE($F$83,$E$83+D83*12,1)),ROUND(C83/(D83*12),0),0)+IF(AND(DATE(2026,11,1)&gt;=DATE($F$84,$E$84,1),DATE(2026,11,1)&lt;DATE($F$84,$E$84+D84*12,1)),ROUND(C84/(D84*12),0),0)+IF(AND(DATE(2026,11,1)&gt;=DATE($F$85,$E$85,1),DATE(2026,11,1)&lt;DATE($F$85,$E$85+D85*12,1)),ROUND(C85/(D85*12),0),0)+IF(AND(DATE(2026,11,1)&gt;=DATE($F$86,$E$86,1),DATE(2026,11,1)&lt;DATE($F$86,$E$86+D86*12,1)),ROUND(C86/(D86*12),0),0)+IF(AND(DATE(2026,11,1)&gt;=DATE($F$87,$E$87,1),DATE(2026,11,1)&lt;DATE($F$87,$E$87+D87*12,1)),ROUND(C87/(D87*12),0),0)+IF(AND(DATE(2026,11,1)&gt;=DATE($F$88,$E$88,1),DATE(2026,11,1)&lt;DATE($F$88,$E$88+D88*12,1)),ROUND(C88/(D88*12),0),0)+IF(DATE(2026,11,1)&lt;DATE(E93,D93,1),ROUND(C93/12,0),0)+IF(DATE(2026,11,1)&lt;DATE(E94,D94,1),ROUND(C94/12,0),0)+IF(DATE(2026,11,1)&lt;DATE(E95,D95,1),ROUND(C95/12,0),0)+IF(DATE(2026,11,1)&lt;DATE(E96,D96,1),ROUND(C96/12,0),0)+IF(DATE(2026,11,1)&lt;DATE(E97,D97,1),ROUND(C97/12,0),0)+IF(DATE(2026,11,1)&lt;DATE(E98,D98,1),ROUND(C98/12,0),0)+IF(DATE(2026,11,1)&lt;DATE(E99,D99,1),ROUND(C99/12,0),0)</f>
      </c>
      <c r="O233" s="41">
        <f>IF(AND(DATE(2026,12,1)&gt;=DATE($F$81,$E$81,1),DATE(2026,12,1)&lt;DATE($F$81,$E$81+D81*12,1)),ROUND(C81/(D81*12),0),0)+IF(AND(DATE(2026,12,1)&gt;=DATE($F$82,$E$82,1),DATE(2026,12,1)&lt;DATE($F$82,$E$82+D82*12,1)),ROUND(C82/(D82*12),0),0)+IF(AND(DATE(2026,12,1)&gt;=DATE($F$83,$E$83,1),DATE(2026,12,1)&lt;DATE($F$83,$E$83+D83*12,1)),ROUND(C83/(D83*12),0),0)+IF(AND(DATE(2026,12,1)&gt;=DATE($F$84,$E$84,1),DATE(2026,12,1)&lt;DATE($F$84,$E$84+D84*12,1)),ROUND(C84/(D84*12),0),0)+IF(AND(DATE(2026,12,1)&gt;=DATE($F$85,$E$85,1),DATE(2026,12,1)&lt;DATE($F$85,$E$85+D85*12,1)),ROUND(C85/(D85*12),0),0)+IF(AND(DATE(2026,12,1)&gt;=DATE($F$86,$E$86,1),DATE(2026,12,1)&lt;DATE($F$86,$E$86+D86*12,1)),ROUND(C86/(D86*12),0),0)+IF(AND(DATE(2026,12,1)&gt;=DATE($F$87,$E$87,1),DATE(2026,12,1)&lt;DATE($F$87,$E$87+D87*12,1)),ROUND(C87/(D87*12),0),0)+IF(AND(DATE(2026,12,1)&gt;=DATE($F$88,$E$88,1),DATE(2026,12,1)&lt;DATE($F$88,$E$88+D88*12,1)),ROUND(C88/(D88*12),0),0)+IF(DATE(2026,12,1)&lt;DATE(E93,D93,1),ROUND(C93/12,0),0)+IF(DATE(2026,12,1)&lt;DATE(E94,D94,1),ROUND(C94/12,0),0)+IF(DATE(2026,12,1)&lt;DATE(E95,D95,1),ROUND(C95/12,0),0)+IF(DATE(2026,12,1)&lt;DATE(E96,D96,1),ROUND(C96/12,0),0)+IF(DATE(2026,12,1)&lt;DATE(E97,D97,1),ROUND(C97/12,0),0)+IF(DATE(2026,12,1)&lt;DATE(E98,D98,1),ROUND(C98/12,0),0)+IF(DATE(2026,12,1)&lt;DATE(E99,D99,1),ROUND(C99/12,0),0)</f>
      </c>
      <c r="P233" s="42">
        <f>SUM(D233:O233)</f>
      </c>
      <c r="Q233" s="41">
        <f>IF(AND(DATE(2027,1,1)&gt;=DATE($F$81,$E$81,1),DATE(2027,1,1)&lt;DATE($F$81,$E$81+D81*12,1)),ROUND(C81/(D81*12),0),0)+IF(AND(DATE(2027,1,1)&gt;=DATE($F$82,$E$82,1),DATE(2027,1,1)&lt;DATE($F$82,$E$82+D82*12,1)),ROUND(C82/(D82*12),0),0)+IF(AND(DATE(2027,1,1)&gt;=DATE($F$83,$E$83,1),DATE(2027,1,1)&lt;DATE($F$83,$E$83+D83*12,1)),ROUND(C83/(D83*12),0),0)+IF(AND(DATE(2027,1,1)&gt;=DATE($F$84,$E$84,1),DATE(2027,1,1)&lt;DATE($F$84,$E$84+D84*12,1)),ROUND(C84/(D84*12),0),0)+IF(AND(DATE(2027,1,1)&gt;=DATE($F$85,$E$85,1),DATE(2027,1,1)&lt;DATE($F$85,$E$85+D85*12,1)),ROUND(C85/(D85*12),0),0)+IF(AND(DATE(2027,1,1)&gt;=DATE($F$86,$E$86,1),DATE(2027,1,1)&lt;DATE($F$86,$E$86+D86*12,1)),ROUND(C86/(D86*12),0),0)+IF(AND(DATE(2027,1,1)&gt;=DATE($F$87,$E$87,1),DATE(2027,1,1)&lt;DATE($F$87,$E$87+D87*12,1)),ROUND(C87/(D87*12),0),0)+IF(AND(DATE(2027,1,1)&gt;=DATE($F$88,$E$88,1),DATE(2027,1,1)&lt;DATE($F$88,$E$88+D88*12,1)),ROUND(C88/(D88*12),0),0)+IF(DATE(2027,1,1)&lt;DATE(E93,D93,1),ROUND(C93/12,0),0)+IF(DATE(2027,1,1)&lt;DATE(E94,D94,1),ROUND(C94/12,0),0)+IF(DATE(2027,1,1)&lt;DATE(E95,D95,1),ROUND(C95/12,0),0)+IF(DATE(2027,1,1)&lt;DATE(E96,D96,1),ROUND(C96/12,0),0)+IF(DATE(2027,1,1)&lt;DATE(E97,D97,1),ROUND(C97/12,0),0)+IF(DATE(2027,1,1)&lt;DATE(E98,D98,1),ROUND(C98/12,0),0)+IF(DATE(2027,1,1)&lt;DATE(E99,D99,1),ROUND(C99/12,0),0)</f>
      </c>
      <c r="R233" s="41">
        <f>IF(AND(DATE(2027,2,1)&gt;=DATE($F$81,$E$81,1),DATE(2027,2,1)&lt;DATE($F$81,$E$81+D81*12,1)),ROUND(C81/(D81*12),0),0)+IF(AND(DATE(2027,2,1)&gt;=DATE($F$82,$E$82,1),DATE(2027,2,1)&lt;DATE($F$82,$E$82+D82*12,1)),ROUND(C82/(D82*12),0),0)+IF(AND(DATE(2027,2,1)&gt;=DATE($F$83,$E$83,1),DATE(2027,2,1)&lt;DATE($F$83,$E$83+D83*12,1)),ROUND(C83/(D83*12),0),0)+IF(AND(DATE(2027,2,1)&gt;=DATE($F$84,$E$84,1),DATE(2027,2,1)&lt;DATE($F$84,$E$84+D84*12,1)),ROUND(C84/(D84*12),0),0)+IF(AND(DATE(2027,2,1)&gt;=DATE($F$85,$E$85,1),DATE(2027,2,1)&lt;DATE($F$85,$E$85+D85*12,1)),ROUND(C85/(D85*12),0),0)+IF(AND(DATE(2027,2,1)&gt;=DATE($F$86,$E$86,1),DATE(2027,2,1)&lt;DATE($F$86,$E$86+D86*12,1)),ROUND(C86/(D86*12),0),0)+IF(AND(DATE(2027,2,1)&gt;=DATE($F$87,$E$87,1),DATE(2027,2,1)&lt;DATE($F$87,$E$87+D87*12,1)),ROUND(C87/(D87*12),0),0)+IF(AND(DATE(2027,2,1)&gt;=DATE($F$88,$E$88,1),DATE(2027,2,1)&lt;DATE($F$88,$E$88+D88*12,1)),ROUND(C88/(D88*12),0),0)+IF(DATE(2027,2,1)&lt;DATE(E93,D93,1),ROUND(C93/12,0),0)+IF(DATE(2027,2,1)&lt;DATE(E94,D94,1),ROUND(C94/12,0),0)+IF(DATE(2027,2,1)&lt;DATE(E95,D95,1),ROUND(C95/12,0),0)+IF(DATE(2027,2,1)&lt;DATE(E96,D96,1),ROUND(C96/12,0),0)+IF(DATE(2027,2,1)&lt;DATE(E97,D97,1),ROUND(C97/12,0),0)+IF(DATE(2027,2,1)&lt;DATE(E98,D98,1),ROUND(C98/12,0),0)+IF(DATE(2027,2,1)&lt;DATE(E99,D99,1),ROUND(C99/12,0),0)</f>
      </c>
      <c r="S233" s="41">
        <f>IF(AND(DATE(2027,3,1)&gt;=DATE($F$81,$E$81,1),DATE(2027,3,1)&lt;DATE($F$81,$E$81+D81*12,1)),ROUND(C81/(D81*12),0),0)+IF(AND(DATE(2027,3,1)&gt;=DATE($F$82,$E$82,1),DATE(2027,3,1)&lt;DATE($F$82,$E$82+D82*12,1)),ROUND(C82/(D82*12),0),0)+IF(AND(DATE(2027,3,1)&gt;=DATE($F$83,$E$83,1),DATE(2027,3,1)&lt;DATE($F$83,$E$83+D83*12,1)),ROUND(C83/(D83*12),0),0)+IF(AND(DATE(2027,3,1)&gt;=DATE($F$84,$E$84,1),DATE(2027,3,1)&lt;DATE($F$84,$E$84+D84*12,1)),ROUND(C84/(D84*12),0),0)+IF(AND(DATE(2027,3,1)&gt;=DATE($F$85,$E$85,1),DATE(2027,3,1)&lt;DATE($F$85,$E$85+D85*12,1)),ROUND(C85/(D85*12),0),0)+IF(AND(DATE(2027,3,1)&gt;=DATE($F$86,$E$86,1),DATE(2027,3,1)&lt;DATE($F$86,$E$86+D86*12,1)),ROUND(C86/(D86*12),0),0)+IF(AND(DATE(2027,3,1)&gt;=DATE($F$87,$E$87,1),DATE(2027,3,1)&lt;DATE($F$87,$E$87+D87*12,1)),ROUND(C87/(D87*12),0),0)+IF(AND(DATE(2027,3,1)&gt;=DATE($F$88,$E$88,1),DATE(2027,3,1)&lt;DATE($F$88,$E$88+D88*12,1)),ROUND(C88/(D88*12),0),0)+IF(DATE(2027,3,1)&lt;DATE(E93,D93,1),ROUND(C93/12,0),0)+IF(DATE(2027,3,1)&lt;DATE(E94,D94,1),ROUND(C94/12,0),0)+IF(DATE(2027,3,1)&lt;DATE(E95,D95,1),ROUND(C95/12,0),0)+IF(DATE(2027,3,1)&lt;DATE(E96,D96,1),ROUND(C96/12,0),0)+IF(DATE(2027,3,1)&lt;DATE(E97,D97,1),ROUND(C97/12,0),0)+IF(DATE(2027,3,1)&lt;DATE(E98,D98,1),ROUND(C98/12,0),0)+IF(DATE(2027,3,1)&lt;DATE(E99,D99,1),ROUND(C99/12,0),0)</f>
      </c>
      <c r="T233" s="41">
        <f>IF(AND(DATE(2027,4,1)&gt;=DATE($F$81,$E$81,1),DATE(2027,4,1)&lt;DATE($F$81,$E$81+D81*12,1)),ROUND(C81/(D81*12),0),0)+IF(AND(DATE(2027,4,1)&gt;=DATE($F$82,$E$82,1),DATE(2027,4,1)&lt;DATE($F$82,$E$82+D82*12,1)),ROUND(C82/(D82*12),0),0)+IF(AND(DATE(2027,4,1)&gt;=DATE($F$83,$E$83,1),DATE(2027,4,1)&lt;DATE($F$83,$E$83+D83*12,1)),ROUND(C83/(D83*12),0),0)+IF(AND(DATE(2027,4,1)&gt;=DATE($F$84,$E$84,1),DATE(2027,4,1)&lt;DATE($F$84,$E$84+D84*12,1)),ROUND(C84/(D84*12),0),0)+IF(AND(DATE(2027,4,1)&gt;=DATE($F$85,$E$85,1),DATE(2027,4,1)&lt;DATE($F$85,$E$85+D85*12,1)),ROUND(C85/(D85*12),0),0)+IF(AND(DATE(2027,4,1)&gt;=DATE($F$86,$E$86,1),DATE(2027,4,1)&lt;DATE($F$86,$E$86+D86*12,1)),ROUND(C86/(D86*12),0),0)+IF(AND(DATE(2027,4,1)&gt;=DATE($F$87,$E$87,1),DATE(2027,4,1)&lt;DATE($F$87,$E$87+D87*12,1)),ROUND(C87/(D87*12),0),0)+IF(AND(DATE(2027,4,1)&gt;=DATE($F$88,$E$88,1),DATE(2027,4,1)&lt;DATE($F$88,$E$88+D88*12,1)),ROUND(C88/(D88*12),0),0)+IF(DATE(2027,4,1)&lt;DATE(E93,D93,1),ROUND(C93/12,0),0)+IF(DATE(2027,4,1)&lt;DATE(E94,D94,1),ROUND(C94/12,0),0)+IF(DATE(2027,4,1)&lt;DATE(E95,D95,1),ROUND(C95/12,0),0)+IF(DATE(2027,4,1)&lt;DATE(E96,D96,1),ROUND(C96/12,0),0)+IF(DATE(2027,4,1)&lt;DATE(E97,D97,1),ROUND(C97/12,0),0)+IF(DATE(2027,4,1)&lt;DATE(E98,D98,1),ROUND(C98/12,0),0)+IF(DATE(2027,4,1)&lt;DATE(E99,D99,1),ROUND(C99/12,0),0)</f>
      </c>
      <c r="U233" s="41">
        <f>IF(AND(DATE(2027,5,1)&gt;=DATE($F$81,$E$81,1),DATE(2027,5,1)&lt;DATE($F$81,$E$81+D81*12,1)),ROUND(C81/(D81*12),0),0)+IF(AND(DATE(2027,5,1)&gt;=DATE($F$82,$E$82,1),DATE(2027,5,1)&lt;DATE($F$82,$E$82+D82*12,1)),ROUND(C82/(D82*12),0),0)+IF(AND(DATE(2027,5,1)&gt;=DATE($F$83,$E$83,1),DATE(2027,5,1)&lt;DATE($F$83,$E$83+D83*12,1)),ROUND(C83/(D83*12),0),0)+IF(AND(DATE(2027,5,1)&gt;=DATE($F$84,$E$84,1),DATE(2027,5,1)&lt;DATE($F$84,$E$84+D84*12,1)),ROUND(C84/(D84*12),0),0)+IF(AND(DATE(2027,5,1)&gt;=DATE($F$85,$E$85,1),DATE(2027,5,1)&lt;DATE($F$85,$E$85+D85*12,1)),ROUND(C85/(D85*12),0),0)+IF(AND(DATE(2027,5,1)&gt;=DATE($F$86,$E$86,1),DATE(2027,5,1)&lt;DATE($F$86,$E$86+D86*12,1)),ROUND(C86/(D86*12),0),0)+IF(AND(DATE(2027,5,1)&gt;=DATE($F$87,$E$87,1),DATE(2027,5,1)&lt;DATE($F$87,$E$87+D87*12,1)),ROUND(C87/(D87*12),0),0)+IF(AND(DATE(2027,5,1)&gt;=DATE($F$88,$E$88,1),DATE(2027,5,1)&lt;DATE($F$88,$E$88+D88*12,1)),ROUND(C88/(D88*12),0),0)+IF(DATE(2027,5,1)&lt;DATE(E93,D93,1),ROUND(C93/12,0),0)+IF(DATE(2027,5,1)&lt;DATE(E94,D94,1),ROUND(C94/12,0),0)+IF(DATE(2027,5,1)&lt;DATE(E95,D95,1),ROUND(C95/12,0),0)+IF(DATE(2027,5,1)&lt;DATE(E96,D96,1),ROUND(C96/12,0),0)+IF(DATE(2027,5,1)&lt;DATE(E97,D97,1),ROUND(C97/12,0),0)+IF(DATE(2027,5,1)&lt;DATE(E98,D98,1),ROUND(C98/12,0),0)+IF(DATE(2027,5,1)&lt;DATE(E99,D99,1),ROUND(C99/12,0),0)</f>
      </c>
      <c r="V233" s="41">
        <f>IF(AND(DATE(2027,6,1)&gt;=DATE($F$81,$E$81,1),DATE(2027,6,1)&lt;DATE($F$81,$E$81+D81*12,1)),ROUND(C81/(D81*12),0),0)+IF(AND(DATE(2027,6,1)&gt;=DATE($F$82,$E$82,1),DATE(2027,6,1)&lt;DATE($F$82,$E$82+D82*12,1)),ROUND(C82/(D82*12),0),0)+IF(AND(DATE(2027,6,1)&gt;=DATE($F$83,$E$83,1),DATE(2027,6,1)&lt;DATE($F$83,$E$83+D83*12,1)),ROUND(C83/(D83*12),0),0)+IF(AND(DATE(2027,6,1)&gt;=DATE($F$84,$E$84,1),DATE(2027,6,1)&lt;DATE($F$84,$E$84+D84*12,1)),ROUND(C84/(D84*12),0),0)+IF(AND(DATE(2027,6,1)&gt;=DATE($F$85,$E$85,1),DATE(2027,6,1)&lt;DATE($F$85,$E$85+D85*12,1)),ROUND(C85/(D85*12),0),0)+IF(AND(DATE(2027,6,1)&gt;=DATE($F$86,$E$86,1),DATE(2027,6,1)&lt;DATE($F$86,$E$86+D86*12,1)),ROUND(C86/(D86*12),0),0)+IF(AND(DATE(2027,6,1)&gt;=DATE($F$87,$E$87,1),DATE(2027,6,1)&lt;DATE($F$87,$E$87+D87*12,1)),ROUND(C87/(D87*12),0),0)+IF(AND(DATE(2027,6,1)&gt;=DATE($F$88,$E$88,1),DATE(2027,6,1)&lt;DATE($F$88,$E$88+D88*12,1)),ROUND(C88/(D88*12),0),0)+IF(DATE(2027,6,1)&lt;DATE(E93,D93,1),ROUND(C93/12,0),0)+IF(DATE(2027,6,1)&lt;DATE(E94,D94,1),ROUND(C94/12,0),0)+IF(DATE(2027,6,1)&lt;DATE(E95,D95,1),ROUND(C95/12,0),0)+IF(DATE(2027,6,1)&lt;DATE(E96,D96,1),ROUND(C96/12,0),0)+IF(DATE(2027,6,1)&lt;DATE(E97,D97,1),ROUND(C97/12,0),0)+IF(DATE(2027,6,1)&lt;DATE(E98,D98,1),ROUND(C98/12,0),0)+IF(DATE(2027,6,1)&lt;DATE(E99,D99,1),ROUND(C99/12,0),0)</f>
      </c>
      <c r="W233" s="41">
        <f>IF(AND(DATE(2027,7,1)&gt;=DATE($F$81,$E$81,1),DATE(2027,7,1)&lt;DATE($F$81,$E$81+D81*12,1)),ROUND(C81/(D81*12),0),0)+IF(AND(DATE(2027,7,1)&gt;=DATE($F$82,$E$82,1),DATE(2027,7,1)&lt;DATE($F$82,$E$82+D82*12,1)),ROUND(C82/(D82*12),0),0)+IF(AND(DATE(2027,7,1)&gt;=DATE($F$83,$E$83,1),DATE(2027,7,1)&lt;DATE($F$83,$E$83+D83*12,1)),ROUND(C83/(D83*12),0),0)+IF(AND(DATE(2027,7,1)&gt;=DATE($F$84,$E$84,1),DATE(2027,7,1)&lt;DATE($F$84,$E$84+D84*12,1)),ROUND(C84/(D84*12),0),0)+IF(AND(DATE(2027,7,1)&gt;=DATE($F$85,$E$85,1),DATE(2027,7,1)&lt;DATE($F$85,$E$85+D85*12,1)),ROUND(C85/(D85*12),0),0)+IF(AND(DATE(2027,7,1)&gt;=DATE($F$86,$E$86,1),DATE(2027,7,1)&lt;DATE($F$86,$E$86+D86*12,1)),ROUND(C86/(D86*12),0),0)+IF(AND(DATE(2027,7,1)&gt;=DATE($F$87,$E$87,1),DATE(2027,7,1)&lt;DATE($F$87,$E$87+D87*12,1)),ROUND(C87/(D87*12),0),0)+IF(AND(DATE(2027,7,1)&gt;=DATE($F$88,$E$88,1),DATE(2027,7,1)&lt;DATE($F$88,$E$88+D88*12,1)),ROUND(C88/(D88*12),0),0)+IF(DATE(2027,7,1)&lt;DATE(E93,D93,1),ROUND(C93/12,0),0)+IF(DATE(2027,7,1)&lt;DATE(E94,D94,1),ROUND(C94/12,0),0)+IF(DATE(2027,7,1)&lt;DATE(E95,D95,1),ROUND(C95/12,0),0)+IF(DATE(2027,7,1)&lt;DATE(E96,D96,1),ROUND(C96/12,0),0)+IF(DATE(2027,7,1)&lt;DATE(E97,D97,1),ROUND(C97/12,0),0)+IF(DATE(2027,7,1)&lt;DATE(E98,D98,1),ROUND(C98/12,0),0)+IF(DATE(2027,7,1)&lt;DATE(E99,D99,1),ROUND(C99/12,0),0)</f>
      </c>
      <c r="X233" s="41">
        <f>IF(AND(DATE(2027,8,1)&gt;=DATE($F$81,$E$81,1),DATE(2027,8,1)&lt;DATE($F$81,$E$81+D81*12,1)),ROUND(C81/(D81*12),0),0)+IF(AND(DATE(2027,8,1)&gt;=DATE($F$82,$E$82,1),DATE(2027,8,1)&lt;DATE($F$82,$E$82+D82*12,1)),ROUND(C82/(D82*12),0),0)+IF(AND(DATE(2027,8,1)&gt;=DATE($F$83,$E$83,1),DATE(2027,8,1)&lt;DATE($F$83,$E$83+D83*12,1)),ROUND(C83/(D83*12),0),0)+IF(AND(DATE(2027,8,1)&gt;=DATE($F$84,$E$84,1),DATE(2027,8,1)&lt;DATE($F$84,$E$84+D84*12,1)),ROUND(C84/(D84*12),0),0)+IF(AND(DATE(2027,8,1)&gt;=DATE($F$85,$E$85,1),DATE(2027,8,1)&lt;DATE($F$85,$E$85+D85*12,1)),ROUND(C85/(D85*12),0),0)+IF(AND(DATE(2027,8,1)&gt;=DATE($F$86,$E$86,1),DATE(2027,8,1)&lt;DATE($F$86,$E$86+D86*12,1)),ROUND(C86/(D86*12),0),0)+IF(AND(DATE(2027,8,1)&gt;=DATE($F$87,$E$87,1),DATE(2027,8,1)&lt;DATE($F$87,$E$87+D87*12,1)),ROUND(C87/(D87*12),0),0)+IF(AND(DATE(2027,8,1)&gt;=DATE($F$88,$E$88,1),DATE(2027,8,1)&lt;DATE($F$88,$E$88+D88*12,1)),ROUND(C88/(D88*12),0),0)+IF(DATE(2027,8,1)&lt;DATE(E93,D93,1),ROUND(C93/12,0),0)+IF(DATE(2027,8,1)&lt;DATE(E94,D94,1),ROUND(C94/12,0),0)+IF(DATE(2027,8,1)&lt;DATE(E95,D95,1),ROUND(C95/12,0),0)+IF(DATE(2027,8,1)&lt;DATE(E96,D96,1),ROUND(C96/12,0),0)+IF(DATE(2027,8,1)&lt;DATE(E97,D97,1),ROUND(C97/12,0),0)+IF(DATE(2027,8,1)&lt;DATE(E98,D98,1),ROUND(C98/12,0),0)+IF(DATE(2027,8,1)&lt;DATE(E99,D99,1),ROUND(C99/12,0),0)</f>
      </c>
      <c r="Y233" s="41">
        <f>IF(AND(DATE(2027,9,1)&gt;=DATE($F$81,$E$81,1),DATE(2027,9,1)&lt;DATE($F$81,$E$81+D81*12,1)),ROUND(C81/(D81*12),0),0)+IF(AND(DATE(2027,9,1)&gt;=DATE($F$82,$E$82,1),DATE(2027,9,1)&lt;DATE($F$82,$E$82+D82*12,1)),ROUND(C82/(D82*12),0),0)+IF(AND(DATE(2027,9,1)&gt;=DATE($F$83,$E$83,1),DATE(2027,9,1)&lt;DATE($F$83,$E$83+D83*12,1)),ROUND(C83/(D83*12),0),0)+IF(AND(DATE(2027,9,1)&gt;=DATE($F$84,$E$84,1),DATE(2027,9,1)&lt;DATE($F$84,$E$84+D84*12,1)),ROUND(C84/(D84*12),0),0)+IF(AND(DATE(2027,9,1)&gt;=DATE($F$85,$E$85,1),DATE(2027,9,1)&lt;DATE($F$85,$E$85+D85*12,1)),ROUND(C85/(D85*12),0),0)+IF(AND(DATE(2027,9,1)&gt;=DATE($F$86,$E$86,1),DATE(2027,9,1)&lt;DATE($F$86,$E$86+D86*12,1)),ROUND(C86/(D86*12),0),0)+IF(AND(DATE(2027,9,1)&gt;=DATE($F$87,$E$87,1),DATE(2027,9,1)&lt;DATE($F$87,$E$87+D87*12,1)),ROUND(C87/(D87*12),0),0)+IF(AND(DATE(2027,9,1)&gt;=DATE($F$88,$E$88,1),DATE(2027,9,1)&lt;DATE($F$88,$E$88+D88*12,1)),ROUND(C88/(D88*12),0),0)+IF(DATE(2027,9,1)&lt;DATE(E93,D93,1),ROUND(C93/12,0),0)+IF(DATE(2027,9,1)&lt;DATE(E94,D94,1),ROUND(C94/12,0),0)+IF(DATE(2027,9,1)&lt;DATE(E95,D95,1),ROUND(C95/12,0),0)+IF(DATE(2027,9,1)&lt;DATE(E96,D96,1),ROUND(C96/12,0),0)+IF(DATE(2027,9,1)&lt;DATE(E97,D97,1),ROUND(C97/12,0),0)+IF(DATE(2027,9,1)&lt;DATE(E98,D98,1),ROUND(C98/12,0),0)+IF(DATE(2027,9,1)&lt;DATE(E99,D99,1),ROUND(C99/12,0),0)</f>
      </c>
      <c r="Z233" s="41">
        <f>IF(AND(DATE(2027,10,1)&gt;=DATE($F$81,$E$81,1),DATE(2027,10,1)&lt;DATE($F$81,$E$81+D81*12,1)),ROUND(C81/(D81*12),0),0)+IF(AND(DATE(2027,10,1)&gt;=DATE($F$82,$E$82,1),DATE(2027,10,1)&lt;DATE($F$82,$E$82+D82*12,1)),ROUND(C82/(D82*12),0),0)+IF(AND(DATE(2027,10,1)&gt;=DATE($F$83,$E$83,1),DATE(2027,10,1)&lt;DATE($F$83,$E$83+D83*12,1)),ROUND(C83/(D83*12),0),0)+IF(AND(DATE(2027,10,1)&gt;=DATE($F$84,$E$84,1),DATE(2027,10,1)&lt;DATE($F$84,$E$84+D84*12,1)),ROUND(C84/(D84*12),0),0)+IF(AND(DATE(2027,10,1)&gt;=DATE($F$85,$E$85,1),DATE(2027,10,1)&lt;DATE($F$85,$E$85+D85*12,1)),ROUND(C85/(D85*12),0),0)+IF(AND(DATE(2027,10,1)&gt;=DATE($F$86,$E$86,1),DATE(2027,10,1)&lt;DATE($F$86,$E$86+D86*12,1)),ROUND(C86/(D86*12),0),0)+IF(AND(DATE(2027,10,1)&gt;=DATE($F$87,$E$87,1),DATE(2027,10,1)&lt;DATE($F$87,$E$87+D87*12,1)),ROUND(C87/(D87*12),0),0)+IF(AND(DATE(2027,10,1)&gt;=DATE($F$88,$E$88,1),DATE(2027,10,1)&lt;DATE($F$88,$E$88+D88*12,1)),ROUND(C88/(D88*12),0),0)+IF(DATE(2027,10,1)&lt;DATE(E93,D93,1),ROUND(C93/12,0),0)+IF(DATE(2027,10,1)&lt;DATE(E94,D94,1),ROUND(C94/12,0),0)+IF(DATE(2027,10,1)&lt;DATE(E95,D95,1),ROUND(C95/12,0),0)+IF(DATE(2027,10,1)&lt;DATE(E96,D96,1),ROUND(C96/12,0),0)+IF(DATE(2027,10,1)&lt;DATE(E97,D97,1),ROUND(C97/12,0),0)+IF(DATE(2027,10,1)&lt;DATE(E98,D98,1),ROUND(C98/12,0),0)+IF(DATE(2027,10,1)&lt;DATE(E99,D99,1),ROUND(C99/12,0),0)</f>
      </c>
      <c r="AA233" s="41">
        <f>IF(AND(DATE(2027,11,1)&gt;=DATE($F$81,$E$81,1),DATE(2027,11,1)&lt;DATE($F$81,$E$81+D81*12,1)),ROUND(C81/(D81*12),0),0)+IF(AND(DATE(2027,11,1)&gt;=DATE($F$82,$E$82,1),DATE(2027,11,1)&lt;DATE($F$82,$E$82+D82*12,1)),ROUND(C82/(D82*12),0),0)+IF(AND(DATE(2027,11,1)&gt;=DATE($F$83,$E$83,1),DATE(2027,11,1)&lt;DATE($F$83,$E$83+D83*12,1)),ROUND(C83/(D83*12),0),0)+IF(AND(DATE(2027,11,1)&gt;=DATE($F$84,$E$84,1),DATE(2027,11,1)&lt;DATE($F$84,$E$84+D84*12,1)),ROUND(C84/(D84*12),0),0)+IF(AND(DATE(2027,11,1)&gt;=DATE($F$85,$E$85,1),DATE(2027,11,1)&lt;DATE($F$85,$E$85+D85*12,1)),ROUND(C85/(D85*12),0),0)+IF(AND(DATE(2027,11,1)&gt;=DATE($F$86,$E$86,1),DATE(2027,11,1)&lt;DATE($F$86,$E$86+D86*12,1)),ROUND(C86/(D86*12),0),0)+IF(AND(DATE(2027,11,1)&gt;=DATE($F$87,$E$87,1),DATE(2027,11,1)&lt;DATE($F$87,$E$87+D87*12,1)),ROUND(C87/(D87*12),0),0)+IF(AND(DATE(2027,11,1)&gt;=DATE($F$88,$E$88,1),DATE(2027,11,1)&lt;DATE($F$88,$E$88+D88*12,1)),ROUND(C88/(D88*12),0),0)+IF(DATE(2027,11,1)&lt;DATE(E93,D93,1),ROUND(C93/12,0),0)+IF(DATE(2027,11,1)&lt;DATE(E94,D94,1),ROUND(C94/12,0),0)+IF(DATE(2027,11,1)&lt;DATE(E95,D95,1),ROUND(C95/12,0),0)+IF(DATE(2027,11,1)&lt;DATE(E96,D96,1),ROUND(C96/12,0),0)+IF(DATE(2027,11,1)&lt;DATE(E97,D97,1),ROUND(C97/12,0),0)+IF(DATE(2027,11,1)&lt;DATE(E98,D98,1),ROUND(C98/12,0),0)+IF(DATE(2027,11,1)&lt;DATE(E99,D99,1),ROUND(C99/12,0),0)</f>
      </c>
      <c r="AB233" s="41">
        <f>IF(AND(DATE(2027,12,1)&gt;=DATE($F$81,$E$81,1),DATE(2027,12,1)&lt;DATE($F$81,$E$81+D81*12,1)),ROUND(C81/(D81*12),0),0)+IF(AND(DATE(2027,12,1)&gt;=DATE($F$82,$E$82,1),DATE(2027,12,1)&lt;DATE($F$82,$E$82+D82*12,1)),ROUND(C82/(D82*12),0),0)+IF(AND(DATE(2027,12,1)&gt;=DATE($F$83,$E$83,1),DATE(2027,12,1)&lt;DATE($F$83,$E$83+D83*12,1)),ROUND(C83/(D83*12),0),0)+IF(AND(DATE(2027,12,1)&gt;=DATE($F$84,$E$84,1),DATE(2027,12,1)&lt;DATE($F$84,$E$84+D84*12,1)),ROUND(C84/(D84*12),0),0)+IF(AND(DATE(2027,12,1)&gt;=DATE($F$85,$E$85,1),DATE(2027,12,1)&lt;DATE($F$85,$E$85+D85*12,1)),ROUND(C85/(D85*12),0),0)+IF(AND(DATE(2027,12,1)&gt;=DATE($F$86,$E$86,1),DATE(2027,12,1)&lt;DATE($F$86,$E$86+D86*12,1)),ROUND(C86/(D86*12),0),0)+IF(AND(DATE(2027,12,1)&gt;=DATE($F$87,$E$87,1),DATE(2027,12,1)&lt;DATE($F$87,$E$87+D87*12,1)),ROUND(C87/(D87*12),0),0)+IF(AND(DATE(2027,12,1)&gt;=DATE($F$88,$E$88,1),DATE(2027,12,1)&lt;DATE($F$88,$E$88+D88*12,1)),ROUND(C88/(D88*12),0),0)+IF(DATE(2027,12,1)&lt;DATE(E93,D93,1),ROUND(C93/12,0),0)+IF(DATE(2027,12,1)&lt;DATE(E94,D94,1),ROUND(C94/12,0),0)+IF(DATE(2027,12,1)&lt;DATE(E95,D95,1),ROUND(C95/12,0),0)+IF(DATE(2027,12,1)&lt;DATE(E96,D96,1),ROUND(C96/12,0),0)+IF(DATE(2027,12,1)&lt;DATE(E97,D97,1),ROUND(C97/12,0),0)+IF(DATE(2027,12,1)&lt;DATE(E98,D98,1),ROUND(C98/12,0),0)+IF(DATE(2027,12,1)&lt;DATE(E99,D99,1),ROUND(C99/12,0),0)</f>
      </c>
      <c r="AC233" s="42">
        <f>SUM(Q233:AB233)</f>
      </c>
      <c r="AD233" s="41">
        <f>IF(AND(DATE(2028,1,1)&gt;=DATE($F$81,$E$81,1),DATE(2028,1,1)&lt;DATE($F$81,$E$81+D81*12,1)),ROUND(C81/(D81*12),0),0)+IF(AND(DATE(2028,1,1)&gt;=DATE($F$82,$E$82,1),DATE(2028,1,1)&lt;DATE($F$82,$E$82+D82*12,1)),ROUND(C82/(D82*12),0),0)+IF(AND(DATE(2028,1,1)&gt;=DATE($F$83,$E$83,1),DATE(2028,1,1)&lt;DATE($F$83,$E$83+D83*12,1)),ROUND(C83/(D83*12),0),0)+IF(AND(DATE(2028,1,1)&gt;=DATE($F$84,$E$84,1),DATE(2028,1,1)&lt;DATE($F$84,$E$84+D84*12,1)),ROUND(C84/(D84*12),0),0)+IF(AND(DATE(2028,1,1)&gt;=DATE($F$85,$E$85,1),DATE(2028,1,1)&lt;DATE($F$85,$E$85+D85*12,1)),ROUND(C85/(D85*12),0),0)+IF(AND(DATE(2028,1,1)&gt;=DATE($F$86,$E$86,1),DATE(2028,1,1)&lt;DATE($F$86,$E$86+D86*12,1)),ROUND(C86/(D86*12),0),0)+IF(AND(DATE(2028,1,1)&gt;=DATE($F$87,$E$87,1),DATE(2028,1,1)&lt;DATE($F$87,$E$87+D87*12,1)),ROUND(C87/(D87*12),0),0)+IF(AND(DATE(2028,1,1)&gt;=DATE($F$88,$E$88,1),DATE(2028,1,1)&lt;DATE($F$88,$E$88+D88*12,1)),ROUND(C88/(D88*12),0),0)+IF(DATE(2028,1,1)&lt;DATE(E93,D93,1),ROUND(C93/12,0),0)+IF(DATE(2028,1,1)&lt;DATE(E94,D94,1),ROUND(C94/12,0),0)+IF(DATE(2028,1,1)&lt;DATE(E95,D95,1),ROUND(C95/12,0),0)+IF(DATE(2028,1,1)&lt;DATE(E96,D96,1),ROUND(C96/12,0),0)+IF(DATE(2028,1,1)&lt;DATE(E97,D97,1),ROUND(C97/12,0),0)+IF(DATE(2028,1,1)&lt;DATE(E98,D98,1),ROUND(C98/12,0),0)+IF(DATE(2028,1,1)&lt;DATE(E99,D99,1),ROUND(C99/12,0),0)</f>
      </c>
      <c r="AE233" s="41">
        <f>IF(AND(DATE(2028,2,1)&gt;=DATE($F$81,$E$81,1),DATE(2028,2,1)&lt;DATE($F$81,$E$81+D81*12,1)),ROUND(C81/(D81*12),0),0)+IF(AND(DATE(2028,2,1)&gt;=DATE($F$82,$E$82,1),DATE(2028,2,1)&lt;DATE($F$82,$E$82+D82*12,1)),ROUND(C82/(D82*12),0),0)+IF(AND(DATE(2028,2,1)&gt;=DATE($F$83,$E$83,1),DATE(2028,2,1)&lt;DATE($F$83,$E$83+D83*12,1)),ROUND(C83/(D83*12),0),0)+IF(AND(DATE(2028,2,1)&gt;=DATE($F$84,$E$84,1),DATE(2028,2,1)&lt;DATE($F$84,$E$84+D84*12,1)),ROUND(C84/(D84*12),0),0)+IF(AND(DATE(2028,2,1)&gt;=DATE($F$85,$E$85,1),DATE(2028,2,1)&lt;DATE($F$85,$E$85+D85*12,1)),ROUND(C85/(D85*12),0),0)+IF(AND(DATE(2028,2,1)&gt;=DATE($F$86,$E$86,1),DATE(2028,2,1)&lt;DATE($F$86,$E$86+D86*12,1)),ROUND(C86/(D86*12),0),0)+IF(AND(DATE(2028,2,1)&gt;=DATE($F$87,$E$87,1),DATE(2028,2,1)&lt;DATE($F$87,$E$87+D87*12,1)),ROUND(C87/(D87*12),0),0)+IF(AND(DATE(2028,2,1)&gt;=DATE($F$88,$E$88,1),DATE(2028,2,1)&lt;DATE($F$88,$E$88+D88*12,1)),ROUND(C88/(D88*12),0),0)+IF(DATE(2028,2,1)&lt;DATE(E93,D93,1),ROUND(C93/12,0),0)+IF(DATE(2028,2,1)&lt;DATE(E94,D94,1),ROUND(C94/12,0),0)+IF(DATE(2028,2,1)&lt;DATE(E95,D95,1),ROUND(C95/12,0),0)+IF(DATE(2028,2,1)&lt;DATE(E96,D96,1),ROUND(C96/12,0),0)+IF(DATE(2028,2,1)&lt;DATE(E97,D97,1),ROUND(C97/12,0),0)+IF(DATE(2028,2,1)&lt;DATE(E98,D98,1),ROUND(C98/12,0),0)+IF(DATE(2028,2,1)&lt;DATE(E99,D99,1),ROUND(C99/12,0),0)</f>
      </c>
      <c r="AF233" s="41">
        <f>IF(AND(DATE(2028,3,1)&gt;=DATE($F$81,$E$81,1),DATE(2028,3,1)&lt;DATE($F$81,$E$81+D81*12,1)),ROUND(C81/(D81*12),0),0)+IF(AND(DATE(2028,3,1)&gt;=DATE($F$82,$E$82,1),DATE(2028,3,1)&lt;DATE($F$82,$E$82+D82*12,1)),ROUND(C82/(D82*12),0),0)+IF(AND(DATE(2028,3,1)&gt;=DATE($F$83,$E$83,1),DATE(2028,3,1)&lt;DATE($F$83,$E$83+D83*12,1)),ROUND(C83/(D83*12),0),0)+IF(AND(DATE(2028,3,1)&gt;=DATE($F$84,$E$84,1),DATE(2028,3,1)&lt;DATE($F$84,$E$84+D84*12,1)),ROUND(C84/(D84*12),0),0)+IF(AND(DATE(2028,3,1)&gt;=DATE($F$85,$E$85,1),DATE(2028,3,1)&lt;DATE($F$85,$E$85+D85*12,1)),ROUND(C85/(D85*12),0),0)+IF(AND(DATE(2028,3,1)&gt;=DATE($F$86,$E$86,1),DATE(2028,3,1)&lt;DATE($F$86,$E$86+D86*12,1)),ROUND(C86/(D86*12),0),0)+IF(AND(DATE(2028,3,1)&gt;=DATE($F$87,$E$87,1),DATE(2028,3,1)&lt;DATE($F$87,$E$87+D87*12,1)),ROUND(C87/(D87*12),0),0)+IF(AND(DATE(2028,3,1)&gt;=DATE($F$88,$E$88,1),DATE(2028,3,1)&lt;DATE($F$88,$E$88+D88*12,1)),ROUND(C88/(D88*12),0),0)+IF(DATE(2028,3,1)&lt;DATE(E93,D93,1),ROUND(C93/12,0),0)+IF(DATE(2028,3,1)&lt;DATE(E94,D94,1),ROUND(C94/12,0),0)+IF(DATE(2028,3,1)&lt;DATE(E95,D95,1),ROUND(C95/12,0),0)+IF(DATE(2028,3,1)&lt;DATE(E96,D96,1),ROUND(C96/12,0),0)+IF(DATE(2028,3,1)&lt;DATE(E97,D97,1),ROUND(C97/12,0),0)+IF(DATE(2028,3,1)&lt;DATE(E98,D98,1),ROUND(C98/12,0),0)+IF(DATE(2028,3,1)&lt;DATE(E99,D99,1),ROUND(C99/12,0),0)</f>
      </c>
      <c r="AG233" s="41">
        <f>IF(AND(DATE(2028,4,1)&gt;=DATE($F$81,$E$81,1),DATE(2028,4,1)&lt;DATE($F$81,$E$81+D81*12,1)),ROUND(C81/(D81*12),0),0)+IF(AND(DATE(2028,4,1)&gt;=DATE($F$82,$E$82,1),DATE(2028,4,1)&lt;DATE($F$82,$E$82+D82*12,1)),ROUND(C82/(D82*12),0),0)+IF(AND(DATE(2028,4,1)&gt;=DATE($F$83,$E$83,1),DATE(2028,4,1)&lt;DATE($F$83,$E$83+D83*12,1)),ROUND(C83/(D83*12),0),0)+IF(AND(DATE(2028,4,1)&gt;=DATE($F$84,$E$84,1),DATE(2028,4,1)&lt;DATE($F$84,$E$84+D84*12,1)),ROUND(C84/(D84*12),0),0)+IF(AND(DATE(2028,4,1)&gt;=DATE($F$85,$E$85,1),DATE(2028,4,1)&lt;DATE($F$85,$E$85+D85*12,1)),ROUND(C85/(D85*12),0),0)+IF(AND(DATE(2028,4,1)&gt;=DATE($F$86,$E$86,1),DATE(2028,4,1)&lt;DATE($F$86,$E$86+D86*12,1)),ROUND(C86/(D86*12),0),0)+IF(AND(DATE(2028,4,1)&gt;=DATE($F$87,$E$87,1),DATE(2028,4,1)&lt;DATE($F$87,$E$87+D87*12,1)),ROUND(C87/(D87*12),0),0)+IF(AND(DATE(2028,4,1)&gt;=DATE($F$88,$E$88,1),DATE(2028,4,1)&lt;DATE($F$88,$E$88+D88*12,1)),ROUND(C88/(D88*12),0),0)+IF(DATE(2028,4,1)&lt;DATE(E93,D93,1),ROUND(C93/12,0),0)+IF(DATE(2028,4,1)&lt;DATE(E94,D94,1),ROUND(C94/12,0),0)+IF(DATE(2028,4,1)&lt;DATE(E95,D95,1),ROUND(C95/12,0),0)+IF(DATE(2028,4,1)&lt;DATE(E96,D96,1),ROUND(C96/12,0),0)+IF(DATE(2028,4,1)&lt;DATE(E97,D97,1),ROUND(C97/12,0),0)+IF(DATE(2028,4,1)&lt;DATE(E98,D98,1),ROUND(C98/12,0),0)+IF(DATE(2028,4,1)&lt;DATE(E99,D99,1),ROUND(C99/12,0),0)</f>
      </c>
      <c r="AH233" s="41">
        <f>IF(AND(DATE(2028,5,1)&gt;=DATE($F$81,$E$81,1),DATE(2028,5,1)&lt;DATE($F$81,$E$81+D81*12,1)),ROUND(C81/(D81*12),0),0)+IF(AND(DATE(2028,5,1)&gt;=DATE($F$82,$E$82,1),DATE(2028,5,1)&lt;DATE($F$82,$E$82+D82*12,1)),ROUND(C82/(D82*12),0),0)+IF(AND(DATE(2028,5,1)&gt;=DATE($F$83,$E$83,1),DATE(2028,5,1)&lt;DATE($F$83,$E$83+D83*12,1)),ROUND(C83/(D83*12),0),0)+IF(AND(DATE(2028,5,1)&gt;=DATE($F$84,$E$84,1),DATE(2028,5,1)&lt;DATE($F$84,$E$84+D84*12,1)),ROUND(C84/(D84*12),0),0)+IF(AND(DATE(2028,5,1)&gt;=DATE($F$85,$E$85,1),DATE(2028,5,1)&lt;DATE($F$85,$E$85+D85*12,1)),ROUND(C85/(D85*12),0),0)+IF(AND(DATE(2028,5,1)&gt;=DATE($F$86,$E$86,1),DATE(2028,5,1)&lt;DATE($F$86,$E$86+D86*12,1)),ROUND(C86/(D86*12),0),0)+IF(AND(DATE(2028,5,1)&gt;=DATE($F$87,$E$87,1),DATE(2028,5,1)&lt;DATE($F$87,$E$87+D87*12,1)),ROUND(C87/(D87*12),0),0)+IF(AND(DATE(2028,5,1)&gt;=DATE($F$88,$E$88,1),DATE(2028,5,1)&lt;DATE($F$88,$E$88+D88*12,1)),ROUND(C88/(D88*12),0),0)+IF(DATE(2028,5,1)&lt;DATE(E93,D93,1),ROUND(C93/12,0),0)+IF(DATE(2028,5,1)&lt;DATE(E94,D94,1),ROUND(C94/12,0),0)+IF(DATE(2028,5,1)&lt;DATE(E95,D95,1),ROUND(C95/12,0),0)+IF(DATE(2028,5,1)&lt;DATE(E96,D96,1),ROUND(C96/12,0),0)+IF(DATE(2028,5,1)&lt;DATE(E97,D97,1),ROUND(C97/12,0),0)+IF(DATE(2028,5,1)&lt;DATE(E98,D98,1),ROUND(C98/12,0),0)+IF(DATE(2028,5,1)&lt;DATE(E99,D99,1),ROUND(C99/12,0),0)</f>
      </c>
      <c r="AI233" s="41">
        <f>IF(AND(DATE(2028,6,1)&gt;=DATE($F$81,$E$81,1),DATE(2028,6,1)&lt;DATE($F$81,$E$81+D81*12,1)),ROUND(C81/(D81*12),0),0)+IF(AND(DATE(2028,6,1)&gt;=DATE($F$82,$E$82,1),DATE(2028,6,1)&lt;DATE($F$82,$E$82+D82*12,1)),ROUND(C82/(D82*12),0),0)+IF(AND(DATE(2028,6,1)&gt;=DATE($F$83,$E$83,1),DATE(2028,6,1)&lt;DATE($F$83,$E$83+D83*12,1)),ROUND(C83/(D83*12),0),0)+IF(AND(DATE(2028,6,1)&gt;=DATE($F$84,$E$84,1),DATE(2028,6,1)&lt;DATE($F$84,$E$84+D84*12,1)),ROUND(C84/(D84*12),0),0)+IF(AND(DATE(2028,6,1)&gt;=DATE($F$85,$E$85,1),DATE(2028,6,1)&lt;DATE($F$85,$E$85+D85*12,1)),ROUND(C85/(D85*12),0),0)+IF(AND(DATE(2028,6,1)&gt;=DATE($F$86,$E$86,1),DATE(2028,6,1)&lt;DATE($F$86,$E$86+D86*12,1)),ROUND(C86/(D86*12),0),0)+IF(AND(DATE(2028,6,1)&gt;=DATE($F$87,$E$87,1),DATE(2028,6,1)&lt;DATE($F$87,$E$87+D87*12,1)),ROUND(C87/(D87*12),0),0)+IF(AND(DATE(2028,6,1)&gt;=DATE($F$88,$E$88,1),DATE(2028,6,1)&lt;DATE($F$88,$E$88+D88*12,1)),ROUND(C88/(D88*12),0),0)+IF(DATE(2028,6,1)&lt;DATE(E93,D93,1),ROUND(C93/12,0),0)+IF(DATE(2028,6,1)&lt;DATE(E94,D94,1),ROUND(C94/12,0),0)+IF(DATE(2028,6,1)&lt;DATE(E95,D95,1),ROUND(C95/12,0),0)+IF(DATE(2028,6,1)&lt;DATE(E96,D96,1),ROUND(C96/12,0),0)+IF(DATE(2028,6,1)&lt;DATE(E97,D97,1),ROUND(C97/12,0),0)+IF(DATE(2028,6,1)&lt;DATE(E98,D98,1),ROUND(C98/12,0),0)+IF(DATE(2028,6,1)&lt;DATE(E99,D99,1),ROUND(C99/12,0),0)</f>
      </c>
      <c r="AJ233" s="41">
        <f>IF(AND(DATE(2028,7,1)&gt;=DATE($F$81,$E$81,1),DATE(2028,7,1)&lt;DATE($F$81,$E$81+D81*12,1)),ROUND(C81/(D81*12),0),0)+IF(AND(DATE(2028,7,1)&gt;=DATE($F$82,$E$82,1),DATE(2028,7,1)&lt;DATE($F$82,$E$82+D82*12,1)),ROUND(C82/(D82*12),0),0)+IF(AND(DATE(2028,7,1)&gt;=DATE($F$83,$E$83,1),DATE(2028,7,1)&lt;DATE($F$83,$E$83+D83*12,1)),ROUND(C83/(D83*12),0),0)+IF(AND(DATE(2028,7,1)&gt;=DATE($F$84,$E$84,1),DATE(2028,7,1)&lt;DATE($F$84,$E$84+D84*12,1)),ROUND(C84/(D84*12),0),0)+IF(AND(DATE(2028,7,1)&gt;=DATE($F$85,$E$85,1),DATE(2028,7,1)&lt;DATE($F$85,$E$85+D85*12,1)),ROUND(C85/(D85*12),0),0)+IF(AND(DATE(2028,7,1)&gt;=DATE($F$86,$E$86,1),DATE(2028,7,1)&lt;DATE($F$86,$E$86+D86*12,1)),ROUND(C86/(D86*12),0),0)+IF(AND(DATE(2028,7,1)&gt;=DATE($F$87,$E$87,1),DATE(2028,7,1)&lt;DATE($F$87,$E$87+D87*12,1)),ROUND(C87/(D87*12),0),0)+IF(AND(DATE(2028,7,1)&gt;=DATE($F$88,$E$88,1),DATE(2028,7,1)&lt;DATE($F$88,$E$88+D88*12,1)),ROUND(C88/(D88*12),0),0)+IF(DATE(2028,7,1)&lt;DATE(E93,D93,1),ROUND(C93/12,0),0)+IF(DATE(2028,7,1)&lt;DATE(E94,D94,1),ROUND(C94/12,0),0)+IF(DATE(2028,7,1)&lt;DATE(E95,D95,1),ROUND(C95/12,0),0)+IF(DATE(2028,7,1)&lt;DATE(E96,D96,1),ROUND(C96/12,0),0)+IF(DATE(2028,7,1)&lt;DATE(E97,D97,1),ROUND(C97/12,0),0)+IF(DATE(2028,7,1)&lt;DATE(E98,D98,1),ROUND(C98/12,0),0)+IF(DATE(2028,7,1)&lt;DATE(E99,D99,1),ROUND(C99/12,0),0)</f>
      </c>
      <c r="AK233" s="41">
        <f>IF(AND(DATE(2028,8,1)&gt;=DATE($F$81,$E$81,1),DATE(2028,8,1)&lt;DATE($F$81,$E$81+D81*12,1)),ROUND(C81/(D81*12),0),0)+IF(AND(DATE(2028,8,1)&gt;=DATE($F$82,$E$82,1),DATE(2028,8,1)&lt;DATE($F$82,$E$82+D82*12,1)),ROUND(C82/(D82*12),0),0)+IF(AND(DATE(2028,8,1)&gt;=DATE($F$83,$E$83,1),DATE(2028,8,1)&lt;DATE($F$83,$E$83+D83*12,1)),ROUND(C83/(D83*12),0),0)+IF(AND(DATE(2028,8,1)&gt;=DATE($F$84,$E$84,1),DATE(2028,8,1)&lt;DATE($F$84,$E$84+D84*12,1)),ROUND(C84/(D84*12),0),0)+IF(AND(DATE(2028,8,1)&gt;=DATE($F$85,$E$85,1),DATE(2028,8,1)&lt;DATE($F$85,$E$85+D85*12,1)),ROUND(C85/(D85*12),0),0)+IF(AND(DATE(2028,8,1)&gt;=DATE($F$86,$E$86,1),DATE(2028,8,1)&lt;DATE($F$86,$E$86+D86*12,1)),ROUND(C86/(D86*12),0),0)+IF(AND(DATE(2028,8,1)&gt;=DATE($F$87,$E$87,1),DATE(2028,8,1)&lt;DATE($F$87,$E$87+D87*12,1)),ROUND(C87/(D87*12),0),0)+IF(AND(DATE(2028,8,1)&gt;=DATE($F$88,$E$88,1),DATE(2028,8,1)&lt;DATE($F$88,$E$88+D88*12,1)),ROUND(C88/(D88*12),0),0)+IF(DATE(2028,8,1)&lt;DATE(E93,D93,1),ROUND(C93/12,0),0)+IF(DATE(2028,8,1)&lt;DATE(E94,D94,1),ROUND(C94/12,0),0)+IF(DATE(2028,8,1)&lt;DATE(E95,D95,1),ROUND(C95/12,0),0)+IF(DATE(2028,8,1)&lt;DATE(E96,D96,1),ROUND(C96/12,0),0)+IF(DATE(2028,8,1)&lt;DATE(E97,D97,1),ROUND(C97/12,0),0)+IF(DATE(2028,8,1)&lt;DATE(E98,D98,1),ROUND(C98/12,0),0)+IF(DATE(2028,8,1)&lt;DATE(E99,D99,1),ROUND(C99/12,0),0)</f>
      </c>
      <c r="AL233" s="41">
        <f>IF(AND(DATE(2028,9,1)&gt;=DATE($F$81,$E$81,1),DATE(2028,9,1)&lt;DATE($F$81,$E$81+D81*12,1)),ROUND(C81/(D81*12),0),0)+IF(AND(DATE(2028,9,1)&gt;=DATE($F$82,$E$82,1),DATE(2028,9,1)&lt;DATE($F$82,$E$82+D82*12,1)),ROUND(C82/(D82*12),0),0)+IF(AND(DATE(2028,9,1)&gt;=DATE($F$83,$E$83,1),DATE(2028,9,1)&lt;DATE($F$83,$E$83+D83*12,1)),ROUND(C83/(D83*12),0),0)+IF(AND(DATE(2028,9,1)&gt;=DATE($F$84,$E$84,1),DATE(2028,9,1)&lt;DATE($F$84,$E$84+D84*12,1)),ROUND(C84/(D84*12),0),0)+IF(AND(DATE(2028,9,1)&gt;=DATE($F$85,$E$85,1),DATE(2028,9,1)&lt;DATE($F$85,$E$85+D85*12,1)),ROUND(C85/(D85*12),0),0)+IF(AND(DATE(2028,9,1)&gt;=DATE($F$86,$E$86,1),DATE(2028,9,1)&lt;DATE($F$86,$E$86+D86*12,1)),ROUND(C86/(D86*12),0),0)+IF(AND(DATE(2028,9,1)&gt;=DATE($F$87,$E$87,1),DATE(2028,9,1)&lt;DATE($F$87,$E$87+D87*12,1)),ROUND(C87/(D87*12),0),0)+IF(AND(DATE(2028,9,1)&gt;=DATE($F$88,$E$88,1),DATE(2028,9,1)&lt;DATE($F$88,$E$88+D88*12,1)),ROUND(C88/(D88*12),0),0)+IF(DATE(2028,9,1)&lt;DATE(E93,D93,1),ROUND(C93/12,0),0)+IF(DATE(2028,9,1)&lt;DATE(E94,D94,1),ROUND(C94/12,0),0)+IF(DATE(2028,9,1)&lt;DATE(E95,D95,1),ROUND(C95/12,0),0)+IF(DATE(2028,9,1)&lt;DATE(E96,D96,1),ROUND(C96/12,0),0)+IF(DATE(2028,9,1)&lt;DATE(E97,D97,1),ROUND(C97/12,0),0)+IF(DATE(2028,9,1)&lt;DATE(E98,D98,1),ROUND(C98/12,0),0)+IF(DATE(2028,9,1)&lt;DATE(E99,D99,1),ROUND(C99/12,0),0)</f>
      </c>
      <c r="AM233" s="41">
        <f>IF(AND(DATE(2028,10,1)&gt;=DATE($F$81,$E$81,1),DATE(2028,10,1)&lt;DATE($F$81,$E$81+D81*12,1)),ROUND(C81/(D81*12),0),0)+IF(AND(DATE(2028,10,1)&gt;=DATE($F$82,$E$82,1),DATE(2028,10,1)&lt;DATE($F$82,$E$82+D82*12,1)),ROUND(C82/(D82*12),0),0)+IF(AND(DATE(2028,10,1)&gt;=DATE($F$83,$E$83,1),DATE(2028,10,1)&lt;DATE($F$83,$E$83+D83*12,1)),ROUND(C83/(D83*12),0),0)+IF(AND(DATE(2028,10,1)&gt;=DATE($F$84,$E$84,1),DATE(2028,10,1)&lt;DATE($F$84,$E$84+D84*12,1)),ROUND(C84/(D84*12),0),0)+IF(AND(DATE(2028,10,1)&gt;=DATE($F$85,$E$85,1),DATE(2028,10,1)&lt;DATE($F$85,$E$85+D85*12,1)),ROUND(C85/(D85*12),0),0)+IF(AND(DATE(2028,10,1)&gt;=DATE($F$86,$E$86,1),DATE(2028,10,1)&lt;DATE($F$86,$E$86+D86*12,1)),ROUND(C86/(D86*12),0),0)+IF(AND(DATE(2028,10,1)&gt;=DATE($F$87,$E$87,1),DATE(2028,10,1)&lt;DATE($F$87,$E$87+D87*12,1)),ROUND(C87/(D87*12),0),0)+IF(AND(DATE(2028,10,1)&gt;=DATE($F$88,$E$88,1),DATE(2028,10,1)&lt;DATE($F$88,$E$88+D88*12,1)),ROUND(C88/(D88*12),0),0)+IF(DATE(2028,10,1)&lt;DATE(E93,D93,1),ROUND(C93/12,0),0)+IF(DATE(2028,10,1)&lt;DATE(E94,D94,1),ROUND(C94/12,0),0)+IF(DATE(2028,10,1)&lt;DATE(E95,D95,1),ROUND(C95/12,0),0)+IF(DATE(2028,10,1)&lt;DATE(E96,D96,1),ROUND(C96/12,0),0)+IF(DATE(2028,10,1)&lt;DATE(E97,D97,1),ROUND(C97/12,0),0)+IF(DATE(2028,10,1)&lt;DATE(E98,D98,1),ROUND(C98/12,0),0)+IF(DATE(2028,10,1)&lt;DATE(E99,D99,1),ROUND(C99/12,0),0)</f>
      </c>
      <c r="AN233" s="41">
        <f>IF(AND(DATE(2028,11,1)&gt;=DATE($F$81,$E$81,1),DATE(2028,11,1)&lt;DATE($F$81,$E$81+D81*12,1)),ROUND(C81/(D81*12),0),0)+IF(AND(DATE(2028,11,1)&gt;=DATE($F$82,$E$82,1),DATE(2028,11,1)&lt;DATE($F$82,$E$82+D82*12,1)),ROUND(C82/(D82*12),0),0)+IF(AND(DATE(2028,11,1)&gt;=DATE($F$83,$E$83,1),DATE(2028,11,1)&lt;DATE($F$83,$E$83+D83*12,1)),ROUND(C83/(D83*12),0),0)+IF(AND(DATE(2028,11,1)&gt;=DATE($F$84,$E$84,1),DATE(2028,11,1)&lt;DATE($F$84,$E$84+D84*12,1)),ROUND(C84/(D84*12),0),0)+IF(AND(DATE(2028,11,1)&gt;=DATE($F$85,$E$85,1),DATE(2028,11,1)&lt;DATE($F$85,$E$85+D85*12,1)),ROUND(C85/(D85*12),0),0)+IF(AND(DATE(2028,11,1)&gt;=DATE($F$86,$E$86,1),DATE(2028,11,1)&lt;DATE($F$86,$E$86+D86*12,1)),ROUND(C86/(D86*12),0),0)+IF(AND(DATE(2028,11,1)&gt;=DATE($F$87,$E$87,1),DATE(2028,11,1)&lt;DATE($F$87,$E$87+D87*12,1)),ROUND(C87/(D87*12),0),0)+IF(AND(DATE(2028,11,1)&gt;=DATE($F$88,$E$88,1),DATE(2028,11,1)&lt;DATE($F$88,$E$88+D88*12,1)),ROUND(C88/(D88*12),0),0)+IF(DATE(2028,11,1)&lt;DATE(E93,D93,1),ROUND(C93/12,0),0)+IF(DATE(2028,11,1)&lt;DATE(E94,D94,1),ROUND(C94/12,0),0)+IF(DATE(2028,11,1)&lt;DATE(E95,D95,1),ROUND(C95/12,0),0)+IF(DATE(2028,11,1)&lt;DATE(E96,D96,1),ROUND(C96/12,0),0)+IF(DATE(2028,11,1)&lt;DATE(E97,D97,1),ROUND(C97/12,0),0)+IF(DATE(2028,11,1)&lt;DATE(E98,D98,1),ROUND(C98/12,0),0)+IF(DATE(2028,11,1)&lt;DATE(E99,D99,1),ROUND(C99/12,0),0)</f>
      </c>
      <c r="AO233" s="41">
        <f>IF(AND(DATE(2028,12,1)&gt;=DATE($F$81,$E$81,1),DATE(2028,12,1)&lt;DATE($F$81,$E$81+D81*12,1)),ROUND(C81/(D81*12),0),0)+IF(AND(DATE(2028,12,1)&gt;=DATE($F$82,$E$82,1),DATE(2028,12,1)&lt;DATE($F$82,$E$82+D82*12,1)),ROUND(C82/(D82*12),0),0)+IF(AND(DATE(2028,12,1)&gt;=DATE($F$83,$E$83,1),DATE(2028,12,1)&lt;DATE($F$83,$E$83+D83*12,1)),ROUND(C83/(D83*12),0),0)+IF(AND(DATE(2028,12,1)&gt;=DATE($F$84,$E$84,1),DATE(2028,12,1)&lt;DATE($F$84,$E$84+D84*12,1)),ROUND(C84/(D84*12),0),0)+IF(AND(DATE(2028,12,1)&gt;=DATE($F$85,$E$85,1),DATE(2028,12,1)&lt;DATE($F$85,$E$85+D85*12,1)),ROUND(C85/(D85*12),0),0)+IF(AND(DATE(2028,12,1)&gt;=DATE($F$86,$E$86,1),DATE(2028,12,1)&lt;DATE($F$86,$E$86+D86*12,1)),ROUND(C86/(D86*12),0),0)+IF(AND(DATE(2028,12,1)&gt;=DATE($F$87,$E$87,1),DATE(2028,12,1)&lt;DATE($F$87,$E$87+D87*12,1)),ROUND(C87/(D87*12),0),0)+IF(AND(DATE(2028,12,1)&gt;=DATE($F$88,$E$88,1),DATE(2028,12,1)&lt;DATE($F$88,$E$88+D88*12,1)),ROUND(C88/(D88*12),0),0)+IF(DATE(2028,12,1)&lt;DATE(E93,D93,1),ROUND(C93/12,0),0)+IF(DATE(2028,12,1)&lt;DATE(E94,D94,1),ROUND(C94/12,0),0)+IF(DATE(2028,12,1)&lt;DATE(E95,D95,1),ROUND(C95/12,0),0)+IF(DATE(2028,12,1)&lt;DATE(E96,D96,1),ROUND(C96/12,0),0)+IF(DATE(2028,12,1)&lt;DATE(E97,D97,1),ROUND(C97/12,0),0)+IF(DATE(2028,12,1)&lt;DATE(E98,D98,1),ROUND(C98/12,0),0)+IF(DATE(2028,12,1)&lt;DATE(E99,D99,1),ROUND(C99/12,0),0)</f>
      </c>
      <c r="AP233" s="42">
        <f>SUM(AD233:AO233)</f>
      </c>
    </row>
    <row r="234" hidden="1" spans="1:1" x14ac:dyDescent="0.25" outlineLevel="1" collapsed="1">
      <c r="A234" s="19" t="s">
        <v>261</v>
      </c>
    </row>
    <row r="235" ht="20" customHeight="1" hidden="1" spans="2:42" x14ac:dyDescent="0.25" outlineLevel="1" collapsed="1">
      <c r="B235" s="4" t="s">
        <v>273</v>
      </c>
      <c r="C235" s="5"/>
      <c r="D235" s="18" t="s">
        <v>220</v>
      </c>
      <c r="E235" s="18" t="s">
        <v>221</v>
      </c>
      <c r="F235" s="18" t="s">
        <v>222</v>
      </c>
      <c r="G235" s="18" t="s">
        <v>223</v>
      </c>
      <c r="H235" s="18" t="s">
        <v>224</v>
      </c>
      <c r="I235" s="18" t="s">
        <v>225</v>
      </c>
      <c r="J235" s="18" t="s">
        <v>226</v>
      </c>
      <c r="K235" s="18" t="s">
        <v>227</v>
      </c>
      <c r="L235" s="18" t="s">
        <v>228</v>
      </c>
      <c r="M235" s="18" t="s">
        <v>229</v>
      </c>
      <c r="N235" s="18" t="s">
        <v>230</v>
      </c>
      <c r="O235" s="18" t="s">
        <v>231</v>
      </c>
      <c r="P235" s="39" t="s">
        <v>232</v>
      </c>
      <c r="Q235" s="18" t="s">
        <v>233</v>
      </c>
      <c r="R235" s="18" t="s">
        <v>234</v>
      </c>
      <c r="S235" s="18" t="s">
        <v>235</v>
      </c>
      <c r="T235" s="18" t="s">
        <v>236</v>
      </c>
      <c r="U235" s="18" t="s">
        <v>237</v>
      </c>
      <c r="V235" s="18" t="s">
        <v>238</v>
      </c>
      <c r="W235" s="18" t="s">
        <v>239</v>
      </c>
      <c r="X235" s="18" t="s">
        <v>240</v>
      </c>
      <c r="Y235" s="18" t="s">
        <v>241</v>
      </c>
      <c r="Z235" s="18" t="s">
        <v>242</v>
      </c>
      <c r="AA235" s="18" t="s">
        <v>243</v>
      </c>
      <c r="AB235" s="18" t="s">
        <v>244</v>
      </c>
      <c r="AC235" s="39" t="s">
        <v>245</v>
      </c>
      <c r="AD235" s="18" t="s">
        <v>246</v>
      </c>
      <c r="AE235" s="18" t="s">
        <v>247</v>
      </c>
      <c r="AF235" s="18" t="s">
        <v>248</v>
      </c>
      <c r="AG235" s="18" t="s">
        <v>249</v>
      </c>
      <c r="AH235" s="18" t="s">
        <v>250</v>
      </c>
      <c r="AI235" s="18" t="s">
        <v>251</v>
      </c>
      <c r="AJ235" s="18" t="s">
        <v>252</v>
      </c>
      <c r="AK235" s="18" t="s">
        <v>253</v>
      </c>
      <c r="AL235" s="18" t="s">
        <v>254</v>
      </c>
      <c r="AM235" s="18" t="s">
        <v>255</v>
      </c>
      <c r="AN235" s="18" t="s">
        <v>256</v>
      </c>
      <c r="AO235" s="18" t="s">
        <v>257</v>
      </c>
      <c r="AP235" s="39" t="s">
        <v>258</v>
      </c>
    </row>
    <row r="236" hidden="1" spans="2:42" x14ac:dyDescent="0.25" outlineLevel="1" collapsed="1">
      <c r="B236" s="19" t="s">
        <v>274</v>
      </c>
      <c r="D236" s="22">
        <f>'Tilgungspläne'!O243</f>
      </c>
      <c r="E236" s="22">
        <f>'Tilgungspläne'!O244</f>
      </c>
      <c r="F236" s="22">
        <f>'Tilgungspläne'!O245</f>
      </c>
      <c r="G236" s="22">
        <f>'Tilgungspläne'!O246</f>
      </c>
      <c r="H236" s="22">
        <f>'Tilgungspläne'!O247</f>
      </c>
      <c r="I236" s="22">
        <f>'Tilgungspläne'!O248</f>
      </c>
      <c r="J236" s="22">
        <f>'Tilgungspläne'!O249</f>
      </c>
      <c r="K236" s="22">
        <f>'Tilgungspläne'!O250</f>
      </c>
      <c r="L236" s="22">
        <f>'Tilgungspläne'!O251</f>
      </c>
      <c r="M236" s="22">
        <f>'Tilgungspläne'!O252</f>
      </c>
      <c r="N236" s="22">
        <f>'Tilgungspläne'!O253</f>
      </c>
      <c r="O236" s="22">
        <f>'Tilgungspläne'!O254</f>
      </c>
      <c r="P236" s="42">
        <f>SUM(D236:O236)</f>
      </c>
      <c r="Q236" s="22">
        <f>'Tilgungspläne'!O256</f>
      </c>
      <c r="R236" s="22">
        <f>'Tilgungspläne'!O257</f>
      </c>
      <c r="S236" s="22">
        <f>'Tilgungspläne'!O258</f>
      </c>
      <c r="T236" s="22">
        <f>'Tilgungspläne'!O259</f>
      </c>
      <c r="U236" s="22">
        <f>'Tilgungspläne'!O260</f>
      </c>
      <c r="V236" s="22">
        <f>'Tilgungspläne'!O261</f>
      </c>
      <c r="W236" s="22">
        <f>'Tilgungspläne'!O262</f>
      </c>
      <c r="X236" s="22">
        <f>'Tilgungspläne'!O263</f>
      </c>
      <c r="Y236" s="22">
        <f>'Tilgungspläne'!O264</f>
      </c>
      <c r="Z236" s="22">
        <f>'Tilgungspläne'!O265</f>
      </c>
      <c r="AA236" s="22">
        <f>'Tilgungspläne'!O266</f>
      </c>
      <c r="AB236" s="22">
        <f>'Tilgungspläne'!O267</f>
      </c>
      <c r="AC236" s="42">
        <f>SUM(Q236:AB236)</f>
      </c>
      <c r="AD236" s="22">
        <f>'Tilgungspläne'!O269</f>
      </c>
      <c r="AE236" s="22">
        <f>'Tilgungspläne'!O270</f>
      </c>
      <c r="AF236" s="22">
        <f>'Tilgungspläne'!O271</f>
      </c>
      <c r="AG236" s="22">
        <f>'Tilgungspläne'!O272</f>
      </c>
      <c r="AH236" s="22">
        <f>'Tilgungspläne'!O273</f>
      </c>
      <c r="AI236" s="22">
        <f>'Tilgungspläne'!O274</f>
      </c>
      <c r="AJ236" s="22">
        <f>'Tilgungspläne'!O275</f>
      </c>
      <c r="AK236" s="22">
        <f>'Tilgungspläne'!O276</f>
      </c>
      <c r="AL236" s="22">
        <f>'Tilgungspläne'!O277</f>
      </c>
      <c r="AM236" s="22">
        <f>'Tilgungspläne'!O278</f>
      </c>
      <c r="AN236" s="22">
        <f>'Tilgungspläne'!O279</f>
      </c>
      <c r="AO236" s="22">
        <f>'Tilgungspläne'!O280</f>
      </c>
      <c r="AP236" s="42">
        <f>SUM(AD236:AO236)</f>
      </c>
    </row>
    <row r="237" hidden="1" spans="2:42" x14ac:dyDescent="0.25" outlineLevel="1" collapsed="1">
      <c r="B237" s="19" t="s">
        <v>275</v>
      </c>
      <c r="D237" s="22">
        <f>'Tilgungspläne'!O200</f>
      </c>
      <c r="E237" s="22">
        <f>'Tilgungspläne'!O201</f>
      </c>
      <c r="F237" s="22">
        <f>'Tilgungspläne'!O202</f>
      </c>
      <c r="G237" s="22">
        <f>'Tilgungspläne'!O203</f>
      </c>
      <c r="H237" s="22">
        <f>'Tilgungspläne'!O204</f>
      </c>
      <c r="I237" s="22">
        <f>'Tilgungspläne'!O205</f>
      </c>
      <c r="J237" s="22">
        <f>'Tilgungspläne'!O206</f>
      </c>
      <c r="K237" s="22">
        <f>'Tilgungspläne'!O207</f>
      </c>
      <c r="L237" s="22">
        <f>'Tilgungspläne'!O208</f>
      </c>
      <c r="M237" s="22">
        <f>'Tilgungspläne'!O209</f>
      </c>
      <c r="N237" s="22">
        <f>'Tilgungspläne'!O210</f>
      </c>
      <c r="O237" s="22">
        <f>'Tilgungspläne'!O211</f>
      </c>
      <c r="P237" s="42">
        <f>SUM(D237:O237)</f>
      </c>
      <c r="Q237" s="22">
        <f>'Tilgungspläne'!O213</f>
      </c>
      <c r="R237" s="22">
        <f>'Tilgungspläne'!O214</f>
      </c>
      <c r="S237" s="22">
        <f>'Tilgungspläne'!O215</f>
      </c>
      <c r="T237" s="22">
        <f>'Tilgungspläne'!O216</f>
      </c>
      <c r="U237" s="22">
        <f>'Tilgungspläne'!O217</f>
      </c>
      <c r="V237" s="22">
        <f>'Tilgungspläne'!O218</f>
      </c>
      <c r="W237" s="22">
        <f>'Tilgungspläne'!O219</f>
      </c>
      <c r="X237" s="22">
        <f>'Tilgungspläne'!O220</f>
      </c>
      <c r="Y237" s="22">
        <f>'Tilgungspläne'!O221</f>
      </c>
      <c r="Z237" s="22">
        <f>'Tilgungspläne'!O222</f>
      </c>
      <c r="AA237" s="22">
        <f>'Tilgungspläne'!O223</f>
      </c>
      <c r="AB237" s="22">
        <f>'Tilgungspläne'!O224</f>
      </c>
      <c r="AC237" s="42">
        <f>SUM(Q237:AB237)</f>
      </c>
      <c r="AD237" s="22">
        <f>'Tilgungspläne'!O226</f>
      </c>
      <c r="AE237" s="22">
        <f>'Tilgungspläne'!O227</f>
      </c>
      <c r="AF237" s="22">
        <f>'Tilgungspläne'!O228</f>
      </c>
      <c r="AG237" s="22">
        <f>'Tilgungspläne'!O229</f>
      </c>
      <c r="AH237" s="22">
        <f>'Tilgungspläne'!O230</f>
      </c>
      <c r="AI237" s="22">
        <f>'Tilgungspläne'!O231</f>
      </c>
      <c r="AJ237" s="22">
        <f>'Tilgungspläne'!O232</f>
      </c>
      <c r="AK237" s="22">
        <f>'Tilgungspläne'!O233</f>
      </c>
      <c r="AL237" s="22">
        <f>'Tilgungspläne'!O234</f>
      </c>
      <c r="AM237" s="22">
        <f>'Tilgungspläne'!O235</f>
      </c>
      <c r="AN237" s="22">
        <f>'Tilgungspläne'!O236</f>
      </c>
      <c r="AO237" s="22">
        <f>'Tilgungspläne'!O237</f>
      </c>
      <c r="AP237" s="42">
        <f>SUM(AD237:AO237)</f>
      </c>
    </row>
    <row r="238" hidden="1" spans="2:42" x14ac:dyDescent="0.25" outlineLevel="1" collapsed="1">
      <c r="B238" s="19" t="s">
        <v>276</v>
      </c>
      <c r="D238" s="22">
        <f>'Tilgungspläne'!O157</f>
      </c>
      <c r="E238" s="22">
        <f>'Tilgungspläne'!O158</f>
      </c>
      <c r="F238" s="22">
        <f>'Tilgungspläne'!O159</f>
      </c>
      <c r="G238" s="22">
        <f>'Tilgungspläne'!O160</f>
      </c>
      <c r="H238" s="22">
        <f>'Tilgungspläne'!O161</f>
      </c>
      <c r="I238" s="22">
        <f>'Tilgungspläne'!O162</f>
      </c>
      <c r="J238" s="22">
        <f>'Tilgungspläne'!O163</f>
      </c>
      <c r="K238" s="22">
        <f>'Tilgungspläne'!O164</f>
      </c>
      <c r="L238" s="22">
        <f>'Tilgungspläne'!O165</f>
      </c>
      <c r="M238" s="22">
        <f>'Tilgungspläne'!O166</f>
      </c>
      <c r="N238" s="22">
        <f>'Tilgungspläne'!O167</f>
      </c>
      <c r="O238" s="22">
        <f>'Tilgungspläne'!O168</f>
      </c>
      <c r="P238" s="42">
        <f>SUM(D238:O238)</f>
      </c>
      <c r="Q238" s="22">
        <f>'Tilgungspläne'!O170</f>
      </c>
      <c r="R238" s="22">
        <f>'Tilgungspläne'!O171</f>
      </c>
      <c r="S238" s="22">
        <f>'Tilgungspläne'!O172</f>
      </c>
      <c r="T238" s="22">
        <f>'Tilgungspläne'!O173</f>
      </c>
      <c r="U238" s="22">
        <f>'Tilgungspläne'!O174</f>
      </c>
      <c r="V238" s="22">
        <f>'Tilgungspläne'!O175</f>
      </c>
      <c r="W238" s="22">
        <f>'Tilgungspläne'!O176</f>
      </c>
      <c r="X238" s="22">
        <f>'Tilgungspläne'!O177</f>
      </c>
      <c r="Y238" s="22">
        <f>'Tilgungspläne'!O178</f>
      </c>
      <c r="Z238" s="22">
        <f>'Tilgungspläne'!O179</f>
      </c>
      <c r="AA238" s="22">
        <f>'Tilgungspläne'!O180</f>
      </c>
      <c r="AB238" s="22">
        <f>'Tilgungspläne'!O181</f>
      </c>
      <c r="AC238" s="42">
        <f>SUM(Q238:AB238)</f>
      </c>
      <c r="AD238" s="22">
        <f>'Tilgungspläne'!O183</f>
      </c>
      <c r="AE238" s="22">
        <f>'Tilgungspläne'!O184</f>
      </c>
      <c r="AF238" s="22">
        <f>'Tilgungspläne'!O185</f>
      </c>
      <c r="AG238" s="22">
        <f>'Tilgungspläne'!O186</f>
      </c>
      <c r="AH238" s="22">
        <f>'Tilgungspläne'!O187</f>
      </c>
      <c r="AI238" s="22">
        <f>'Tilgungspläne'!O188</f>
      </c>
      <c r="AJ238" s="22">
        <f>'Tilgungspläne'!O189</f>
      </c>
      <c r="AK238" s="22">
        <f>'Tilgungspläne'!O190</f>
      </c>
      <c r="AL238" s="22">
        <f>'Tilgungspläne'!O191</f>
      </c>
      <c r="AM238" s="22">
        <f>'Tilgungspläne'!O192</f>
      </c>
      <c r="AN238" s="22">
        <f>'Tilgungspläne'!O193</f>
      </c>
      <c r="AO238" s="22">
        <f>'Tilgungspläne'!O194</f>
      </c>
      <c r="AP238" s="42">
        <f>SUM(AD238:AO238)</f>
      </c>
    </row>
    <row r="239" hidden="1" spans="2:42" x14ac:dyDescent="0.25" outlineLevel="1" collapsed="1">
      <c r="B239" s="19" t="s">
        <v>277</v>
      </c>
      <c r="D239" s="22">
        <f>'Tilgungspläne'!O114</f>
      </c>
      <c r="E239" s="22">
        <f>'Tilgungspläne'!O115</f>
      </c>
      <c r="F239" s="22">
        <f>'Tilgungspläne'!O116</f>
      </c>
      <c r="G239" s="22">
        <f>'Tilgungspläne'!O117</f>
      </c>
      <c r="H239" s="22">
        <f>'Tilgungspläne'!O118</f>
      </c>
      <c r="I239" s="22">
        <f>'Tilgungspläne'!O119</f>
      </c>
      <c r="J239" s="22">
        <f>'Tilgungspläne'!O120</f>
      </c>
      <c r="K239" s="22">
        <f>'Tilgungspläne'!O121</f>
      </c>
      <c r="L239" s="22">
        <f>'Tilgungspläne'!O122</f>
      </c>
      <c r="M239" s="22">
        <f>'Tilgungspläne'!O123</f>
      </c>
      <c r="N239" s="22">
        <f>'Tilgungspläne'!O124</f>
      </c>
      <c r="O239" s="22">
        <f>'Tilgungspläne'!O125</f>
      </c>
      <c r="P239" s="42">
        <f>SUM(D239:O239)</f>
      </c>
      <c r="Q239" s="22">
        <f>'Tilgungspläne'!O127</f>
      </c>
      <c r="R239" s="22">
        <f>'Tilgungspläne'!O128</f>
      </c>
      <c r="S239" s="22">
        <f>'Tilgungspläne'!O129</f>
      </c>
      <c r="T239" s="22">
        <f>'Tilgungspläne'!O130</f>
      </c>
      <c r="U239" s="22">
        <f>'Tilgungspläne'!O131</f>
      </c>
      <c r="V239" s="22">
        <f>'Tilgungspläne'!O132</f>
      </c>
      <c r="W239" s="22">
        <f>'Tilgungspläne'!O133</f>
      </c>
      <c r="X239" s="22">
        <f>'Tilgungspläne'!O134</f>
      </c>
      <c r="Y239" s="22">
        <f>'Tilgungspläne'!O135</f>
      </c>
      <c r="Z239" s="22">
        <f>'Tilgungspläne'!O136</f>
      </c>
      <c r="AA239" s="22">
        <f>'Tilgungspläne'!O137</f>
      </c>
      <c r="AB239" s="22">
        <f>'Tilgungspläne'!O138</f>
      </c>
      <c r="AC239" s="42">
        <f>SUM(Q239:AB239)</f>
      </c>
      <c r="AD239" s="22">
        <f>'Tilgungspläne'!O140</f>
      </c>
      <c r="AE239" s="22">
        <f>'Tilgungspläne'!O141</f>
      </c>
      <c r="AF239" s="22">
        <f>'Tilgungspläne'!O142</f>
      </c>
      <c r="AG239" s="22">
        <f>'Tilgungspläne'!O143</f>
      </c>
      <c r="AH239" s="22">
        <f>'Tilgungspläne'!O144</f>
      </c>
      <c r="AI239" s="22">
        <f>'Tilgungspläne'!O145</f>
      </c>
      <c r="AJ239" s="22">
        <f>'Tilgungspläne'!O146</f>
      </c>
      <c r="AK239" s="22">
        <f>'Tilgungspläne'!O147</f>
      </c>
      <c r="AL239" s="22">
        <f>'Tilgungspläne'!O148</f>
      </c>
      <c r="AM239" s="22">
        <f>'Tilgungspläne'!O149</f>
      </c>
      <c r="AN239" s="22">
        <f>'Tilgungspläne'!O150</f>
      </c>
      <c r="AO239" s="22">
        <f>'Tilgungspläne'!O151</f>
      </c>
      <c r="AP239" s="42">
        <f>SUM(AD239:AO239)</f>
      </c>
    </row>
    <row r="240" hidden="1" spans="2:42" x14ac:dyDescent="0.25" outlineLevel="1" collapsed="1">
      <c r="B240" s="19" t="s">
        <v>278</v>
      </c>
      <c r="D240" s="41">
        <v>0</v>
      </c>
      <c r="E240" s="41">
        <v>0</v>
      </c>
      <c r="F240" s="41">
        <v>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2">
        <f>SUM(D240:O240)</f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2">
        <f>SUM(Q240:AB240)</f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0</v>
      </c>
      <c r="AJ240" s="41">
        <v>0</v>
      </c>
      <c r="AK240" s="41">
        <v>0</v>
      </c>
      <c r="AL240" s="41">
        <v>0</v>
      </c>
      <c r="AM240" s="41">
        <v>0</v>
      </c>
      <c r="AN240" s="41">
        <v>0</v>
      </c>
      <c r="AO240" s="41">
        <v>0</v>
      </c>
      <c r="AP240" s="42">
        <f>SUM(AD240:AO240)</f>
      </c>
    </row>
    <row r="241" hidden="1" spans="1:1" x14ac:dyDescent="0.25" outlineLevel="1" collapsed="1">
      <c r="A241" s="19" t="s">
        <v>261</v>
      </c>
    </row>
    <row r="242" ht="20" customHeight="1" hidden="1" spans="2:42" x14ac:dyDescent="0.25" outlineLevel="1" collapsed="1">
      <c r="B242" s="4" t="s">
        <v>279</v>
      </c>
      <c r="C242" s="5"/>
      <c r="D242" s="18" t="s">
        <v>220</v>
      </c>
      <c r="E242" s="18" t="s">
        <v>221</v>
      </c>
      <c r="F242" s="18" t="s">
        <v>222</v>
      </c>
      <c r="G242" s="18" t="s">
        <v>223</v>
      </c>
      <c r="H242" s="18" t="s">
        <v>224</v>
      </c>
      <c r="I242" s="18" t="s">
        <v>225</v>
      </c>
      <c r="J242" s="18" t="s">
        <v>226</v>
      </c>
      <c r="K242" s="18" t="s">
        <v>227</v>
      </c>
      <c r="L242" s="18" t="s">
        <v>228</v>
      </c>
      <c r="M242" s="18" t="s">
        <v>229</v>
      </c>
      <c r="N242" s="18" t="s">
        <v>230</v>
      </c>
      <c r="O242" s="18" t="s">
        <v>231</v>
      </c>
      <c r="P242" s="39" t="s">
        <v>232</v>
      </c>
      <c r="Q242" s="18" t="s">
        <v>233</v>
      </c>
      <c r="R242" s="18" t="s">
        <v>234</v>
      </c>
      <c r="S242" s="18" t="s">
        <v>235</v>
      </c>
      <c r="T242" s="18" t="s">
        <v>236</v>
      </c>
      <c r="U242" s="18" t="s">
        <v>237</v>
      </c>
      <c r="V242" s="18" t="s">
        <v>238</v>
      </c>
      <c r="W242" s="18" t="s">
        <v>239</v>
      </c>
      <c r="X242" s="18" t="s">
        <v>240</v>
      </c>
      <c r="Y242" s="18" t="s">
        <v>241</v>
      </c>
      <c r="Z242" s="18" t="s">
        <v>242</v>
      </c>
      <c r="AA242" s="18" t="s">
        <v>243</v>
      </c>
      <c r="AB242" s="18" t="s">
        <v>244</v>
      </c>
      <c r="AC242" s="39" t="s">
        <v>245</v>
      </c>
      <c r="AD242" s="18" t="s">
        <v>246</v>
      </c>
      <c r="AE242" s="18" t="s">
        <v>247</v>
      </c>
      <c r="AF242" s="18" t="s">
        <v>248</v>
      </c>
      <c r="AG242" s="18" t="s">
        <v>249</v>
      </c>
      <c r="AH242" s="18" t="s">
        <v>250</v>
      </c>
      <c r="AI242" s="18" t="s">
        <v>251</v>
      </c>
      <c r="AJ242" s="18" t="s">
        <v>252</v>
      </c>
      <c r="AK242" s="18" t="s">
        <v>253</v>
      </c>
      <c r="AL242" s="18" t="s">
        <v>254</v>
      </c>
      <c r="AM242" s="18" t="s">
        <v>255</v>
      </c>
      <c r="AN242" s="18" t="s">
        <v>256</v>
      </c>
      <c r="AO242" s="18" t="s">
        <v>257</v>
      </c>
      <c r="AP242" s="39" t="s">
        <v>258</v>
      </c>
    </row>
    <row r="243" hidden="1" spans="2:42" x14ac:dyDescent="0.25" outlineLevel="1" collapsed="1">
      <c r="B243" s="19" t="s">
        <v>280</v>
      </c>
      <c r="D243" s="41">
        <v>0</v>
      </c>
      <c r="E243" s="41">
        <v>0</v>
      </c>
      <c r="F243" s="41">
        <v>0</v>
      </c>
      <c r="G243" s="41">
        <v>0</v>
      </c>
      <c r="H243" s="41">
        <v>0</v>
      </c>
      <c r="I243" s="41">
        <v>0</v>
      </c>
      <c r="J243" s="41">
        <v>0</v>
      </c>
      <c r="K243" s="41">
        <v>0</v>
      </c>
      <c r="L243" s="41">
        <v>75000</v>
      </c>
      <c r="M243" s="41">
        <v>0</v>
      </c>
      <c r="N243" s="41">
        <v>0</v>
      </c>
      <c r="O243" s="41">
        <v>0</v>
      </c>
      <c r="P243" s="42">
        <f>SUM(D243:O243)</f>
      </c>
      <c r="Q243" s="41">
        <v>0</v>
      </c>
      <c r="R243" s="41">
        <v>0</v>
      </c>
      <c r="S243" s="41">
        <v>0</v>
      </c>
      <c r="T243" s="41">
        <v>0</v>
      </c>
      <c r="U243" s="41">
        <v>0</v>
      </c>
      <c r="V243" s="41">
        <v>0</v>
      </c>
      <c r="W243" s="41">
        <v>0</v>
      </c>
      <c r="X243" s="41">
        <v>0</v>
      </c>
      <c r="Y243" s="41">
        <v>0</v>
      </c>
      <c r="Z243" s="41">
        <v>0</v>
      </c>
      <c r="AA243" s="41">
        <v>0</v>
      </c>
      <c r="AB243" s="41">
        <v>0</v>
      </c>
      <c r="AC243" s="42">
        <f>SUM(Q243:AB243)</f>
      </c>
      <c r="AD243" s="41">
        <v>0</v>
      </c>
      <c r="AE243" s="41">
        <v>0</v>
      </c>
      <c r="AF243" s="41">
        <v>0</v>
      </c>
      <c r="AG243" s="41">
        <v>0</v>
      </c>
      <c r="AH243" s="41">
        <v>0</v>
      </c>
      <c r="AI243" s="41">
        <v>0</v>
      </c>
      <c r="AJ243" s="41">
        <v>0</v>
      </c>
      <c r="AK243" s="41">
        <v>0</v>
      </c>
      <c r="AL243" s="41">
        <v>0</v>
      </c>
      <c r="AM243" s="41">
        <v>0</v>
      </c>
      <c r="AN243" s="41">
        <v>0</v>
      </c>
      <c r="AO243" s="41">
        <v>0</v>
      </c>
      <c r="AP243" s="42">
        <f>SUM(AD243:AO243)</f>
      </c>
    </row>
    <row r="244" hidden="1" spans="2:42" x14ac:dyDescent="0.25" outlineLevel="1" collapsed="1">
      <c r="B244" s="19" t="s">
        <v>281</v>
      </c>
      <c r="D244" s="41">
        <v>0</v>
      </c>
      <c r="E244" s="41">
        <v>0</v>
      </c>
      <c r="F244" s="41">
        <v>150000</v>
      </c>
      <c r="G244" s="41">
        <v>0</v>
      </c>
      <c r="H244" s="41">
        <v>0</v>
      </c>
      <c r="I244" s="41">
        <v>0</v>
      </c>
      <c r="J244" s="41">
        <v>0</v>
      </c>
      <c r="K244" s="41">
        <v>0</v>
      </c>
      <c r="L244" s="41">
        <v>0</v>
      </c>
      <c r="M244" s="41">
        <v>0</v>
      </c>
      <c r="N244" s="41">
        <v>0</v>
      </c>
      <c r="O244" s="41">
        <v>0</v>
      </c>
      <c r="P244" s="42">
        <f>SUM(D244:O244)</f>
      </c>
      <c r="Q244" s="41">
        <v>0</v>
      </c>
      <c r="R244" s="41">
        <v>0</v>
      </c>
      <c r="S244" s="41">
        <v>0</v>
      </c>
      <c r="T244" s="41">
        <v>0</v>
      </c>
      <c r="U244" s="41">
        <v>0</v>
      </c>
      <c r="V244" s="41">
        <v>0</v>
      </c>
      <c r="W244" s="41">
        <v>0</v>
      </c>
      <c r="X244" s="41">
        <v>0</v>
      </c>
      <c r="Y244" s="41">
        <v>0</v>
      </c>
      <c r="Z244" s="41">
        <v>0</v>
      </c>
      <c r="AA244" s="41">
        <v>0</v>
      </c>
      <c r="AB244" s="41">
        <v>0</v>
      </c>
      <c r="AC244" s="42">
        <f>SUM(Q244:AB244)</f>
      </c>
      <c r="AD244" s="41">
        <v>0</v>
      </c>
      <c r="AE244" s="41">
        <v>0</v>
      </c>
      <c r="AF244" s="41">
        <v>0</v>
      </c>
      <c r="AG244" s="41">
        <v>0</v>
      </c>
      <c r="AH244" s="41">
        <v>0</v>
      </c>
      <c r="AI244" s="41">
        <v>0</v>
      </c>
      <c r="AJ244" s="41">
        <v>0</v>
      </c>
      <c r="AK244" s="41">
        <v>0</v>
      </c>
      <c r="AL244" s="41">
        <v>0</v>
      </c>
      <c r="AM244" s="41">
        <v>0</v>
      </c>
      <c r="AN244" s="41">
        <v>0</v>
      </c>
      <c r="AO244" s="41">
        <v>0</v>
      </c>
      <c r="AP244" s="42">
        <f>SUM(AD244:AO244)</f>
      </c>
    </row>
    <row r="245" hidden="1" spans="2:42" x14ac:dyDescent="0.25" outlineLevel="1" collapsed="1">
      <c r="B245" s="19" t="s">
        <v>282</v>
      </c>
      <c r="D245" s="41">
        <v>0</v>
      </c>
      <c r="E245" s="41">
        <v>0</v>
      </c>
      <c r="F245" s="41">
        <v>0</v>
      </c>
      <c r="G245" s="41">
        <v>0</v>
      </c>
      <c r="H245" s="41">
        <v>0</v>
      </c>
      <c r="I245" s="41">
        <v>0</v>
      </c>
      <c r="J245" s="41">
        <v>0</v>
      </c>
      <c r="K245" s="41">
        <v>0</v>
      </c>
      <c r="L245" s="41">
        <v>0</v>
      </c>
      <c r="M245" s="41">
        <v>0</v>
      </c>
      <c r="N245" s="41">
        <v>0</v>
      </c>
      <c r="O245" s="41">
        <v>0</v>
      </c>
      <c r="P245" s="42">
        <f>SUM(D245:O245)</f>
      </c>
      <c r="Q245" s="41">
        <v>0</v>
      </c>
      <c r="R245" s="41">
        <v>0</v>
      </c>
      <c r="S245" s="41">
        <v>35000</v>
      </c>
      <c r="T245" s="41">
        <v>0</v>
      </c>
      <c r="U245" s="41">
        <v>0</v>
      </c>
      <c r="V245" s="41">
        <v>0</v>
      </c>
      <c r="W245" s="41">
        <v>0</v>
      </c>
      <c r="X245" s="41">
        <v>0</v>
      </c>
      <c r="Y245" s="41">
        <v>0</v>
      </c>
      <c r="Z245" s="41">
        <v>0</v>
      </c>
      <c r="AA245" s="41">
        <v>0</v>
      </c>
      <c r="AB245" s="41">
        <v>0</v>
      </c>
      <c r="AC245" s="42">
        <f>SUM(Q245:AB245)</f>
      </c>
      <c r="AD245" s="41">
        <v>0</v>
      </c>
      <c r="AE245" s="41">
        <v>0</v>
      </c>
      <c r="AF245" s="41">
        <v>0</v>
      </c>
      <c r="AG245" s="41">
        <v>0</v>
      </c>
      <c r="AH245" s="41">
        <v>0</v>
      </c>
      <c r="AI245" s="41">
        <v>0</v>
      </c>
      <c r="AJ245" s="41">
        <v>0</v>
      </c>
      <c r="AK245" s="41">
        <v>0</v>
      </c>
      <c r="AL245" s="41">
        <v>0</v>
      </c>
      <c r="AM245" s="41">
        <v>0</v>
      </c>
      <c r="AN245" s="41">
        <v>0</v>
      </c>
      <c r="AO245" s="41">
        <v>0</v>
      </c>
      <c r="AP245" s="42">
        <f>SUM(AD245:AO245)</f>
      </c>
    </row>
    <row r="246" hidden="1" spans="2:42" x14ac:dyDescent="0.25" outlineLevel="1" collapsed="1">
      <c r="B246" s="19" t="s">
        <v>283</v>
      </c>
      <c r="D246" s="41">
        <v>0</v>
      </c>
      <c r="E246" s="41">
        <v>0</v>
      </c>
      <c r="F246" s="41">
        <v>0</v>
      </c>
      <c r="G246" s="41">
        <v>0</v>
      </c>
      <c r="H246" s="41">
        <v>0</v>
      </c>
      <c r="I246" s="41">
        <v>0</v>
      </c>
      <c r="J246" s="41">
        <v>0</v>
      </c>
      <c r="K246" s="41">
        <v>0</v>
      </c>
      <c r="L246" s="41">
        <v>0</v>
      </c>
      <c r="M246" s="41">
        <v>0</v>
      </c>
      <c r="N246" s="41">
        <v>0</v>
      </c>
      <c r="O246" s="41">
        <v>0</v>
      </c>
      <c r="P246" s="42">
        <f>SUM(D246:O246)</f>
      </c>
      <c r="Q246" s="41">
        <v>0</v>
      </c>
      <c r="R246" s="41">
        <v>0</v>
      </c>
      <c r="S246" s="41">
        <v>35000</v>
      </c>
      <c r="T246" s="41">
        <v>0</v>
      </c>
      <c r="U246" s="41">
        <v>0</v>
      </c>
      <c r="V246" s="41">
        <v>0</v>
      </c>
      <c r="W246" s="41">
        <v>0</v>
      </c>
      <c r="X246" s="41">
        <v>0</v>
      </c>
      <c r="Y246" s="41">
        <v>0</v>
      </c>
      <c r="Z246" s="41">
        <v>0</v>
      </c>
      <c r="AA246" s="41">
        <v>0</v>
      </c>
      <c r="AB246" s="41">
        <v>0</v>
      </c>
      <c r="AC246" s="42">
        <f>SUM(Q246:AB246)</f>
      </c>
      <c r="AD246" s="41">
        <v>0</v>
      </c>
      <c r="AE246" s="41">
        <v>0</v>
      </c>
      <c r="AF246" s="41">
        <v>0</v>
      </c>
      <c r="AG246" s="41">
        <v>0</v>
      </c>
      <c r="AH246" s="41">
        <v>0</v>
      </c>
      <c r="AI246" s="41">
        <v>0</v>
      </c>
      <c r="AJ246" s="41">
        <v>0</v>
      </c>
      <c r="AK246" s="41">
        <v>0</v>
      </c>
      <c r="AL246" s="41">
        <v>0</v>
      </c>
      <c r="AM246" s="41">
        <v>0</v>
      </c>
      <c r="AN246" s="41">
        <v>0</v>
      </c>
      <c r="AO246" s="41">
        <v>0</v>
      </c>
      <c r="AP246" s="42">
        <f>SUM(AD246:AO246)</f>
      </c>
    </row>
    <row r="247" hidden="1" spans="2:42" x14ac:dyDescent="0.25" outlineLevel="1" collapsed="1">
      <c r="B247" s="19" t="s">
        <v>284</v>
      </c>
      <c r="D247" s="41">
        <v>0</v>
      </c>
      <c r="E247" s="41">
        <v>0</v>
      </c>
      <c r="F247" s="41">
        <v>150000</v>
      </c>
      <c r="G247" s="41">
        <v>0</v>
      </c>
      <c r="H247" s="41">
        <v>0</v>
      </c>
      <c r="I247" s="41">
        <v>0</v>
      </c>
      <c r="J247" s="41">
        <v>0</v>
      </c>
      <c r="K247" s="41">
        <v>0</v>
      </c>
      <c r="L247" s="41">
        <v>0</v>
      </c>
      <c r="M247" s="41">
        <v>0</v>
      </c>
      <c r="N247" s="41">
        <v>0</v>
      </c>
      <c r="O247" s="41">
        <v>0</v>
      </c>
      <c r="P247" s="42">
        <f>SUM(D247:O247)</f>
      </c>
      <c r="Q247" s="41">
        <v>0</v>
      </c>
      <c r="R247" s="41">
        <v>0</v>
      </c>
      <c r="S247" s="41">
        <v>0</v>
      </c>
      <c r="T247" s="41">
        <v>0</v>
      </c>
      <c r="U247" s="41">
        <v>0</v>
      </c>
      <c r="V247" s="41">
        <v>0</v>
      </c>
      <c r="W247" s="41">
        <v>0</v>
      </c>
      <c r="X247" s="41">
        <v>0</v>
      </c>
      <c r="Y247" s="41">
        <v>0</v>
      </c>
      <c r="Z247" s="41">
        <v>0</v>
      </c>
      <c r="AA247" s="41">
        <v>0</v>
      </c>
      <c r="AB247" s="41">
        <v>0</v>
      </c>
      <c r="AC247" s="42">
        <f>SUM(Q247:AB247)</f>
      </c>
      <c r="AD247" s="41">
        <v>0</v>
      </c>
      <c r="AE247" s="41">
        <v>0</v>
      </c>
      <c r="AF247" s="41">
        <v>0</v>
      </c>
      <c r="AG247" s="41">
        <v>0</v>
      </c>
      <c r="AH247" s="41">
        <v>0</v>
      </c>
      <c r="AI247" s="41">
        <v>0</v>
      </c>
      <c r="AJ247" s="41">
        <v>0</v>
      </c>
      <c r="AK247" s="41">
        <v>0</v>
      </c>
      <c r="AL247" s="41">
        <v>0</v>
      </c>
      <c r="AM247" s="41">
        <v>0</v>
      </c>
      <c r="AN247" s="41">
        <v>0</v>
      </c>
      <c r="AO247" s="41">
        <v>0</v>
      </c>
      <c r="AP247" s="42">
        <f>SUM(AD247:AO247)</f>
      </c>
    </row>
    <row r="248" hidden="1" spans="1:1" x14ac:dyDescent="0.25" outlineLevel="1" collapsed="1">
      <c r="A248" s="19" t="s">
        <v>261</v>
      </c>
    </row>
    <row r="249" ht="20" customHeight="1" hidden="1" spans="2:42" x14ac:dyDescent="0.25" outlineLevel="1" collapsed="1">
      <c r="B249" s="4" t="s">
        <v>285</v>
      </c>
      <c r="C249" s="38" t="s">
        <v>219</v>
      </c>
      <c r="D249" s="18" t="s">
        <v>220</v>
      </c>
      <c r="E249" s="18" t="s">
        <v>221</v>
      </c>
      <c r="F249" s="18" t="s">
        <v>222</v>
      </c>
      <c r="G249" s="18" t="s">
        <v>223</v>
      </c>
      <c r="H249" s="18" t="s">
        <v>224</v>
      </c>
      <c r="I249" s="18" t="s">
        <v>225</v>
      </c>
      <c r="J249" s="18" t="s">
        <v>226</v>
      </c>
      <c r="K249" s="18" t="s">
        <v>227</v>
      </c>
      <c r="L249" s="18" t="s">
        <v>228</v>
      </c>
      <c r="M249" s="18" t="s">
        <v>229</v>
      </c>
      <c r="N249" s="18" t="s">
        <v>230</v>
      </c>
      <c r="O249" s="18" t="s">
        <v>231</v>
      </c>
      <c r="P249" s="39" t="s">
        <v>232</v>
      </c>
      <c r="Q249" s="18" t="s">
        <v>233</v>
      </c>
      <c r="R249" s="18" t="s">
        <v>234</v>
      </c>
      <c r="S249" s="18" t="s">
        <v>235</v>
      </c>
      <c r="T249" s="18" t="s">
        <v>236</v>
      </c>
      <c r="U249" s="18" t="s">
        <v>237</v>
      </c>
      <c r="V249" s="18" t="s">
        <v>238</v>
      </c>
      <c r="W249" s="18" t="s">
        <v>239</v>
      </c>
      <c r="X249" s="18" t="s">
        <v>240</v>
      </c>
      <c r="Y249" s="18" t="s">
        <v>241</v>
      </c>
      <c r="Z249" s="18" t="s">
        <v>242</v>
      </c>
      <c r="AA249" s="18" t="s">
        <v>243</v>
      </c>
      <c r="AB249" s="18" t="s">
        <v>244</v>
      </c>
      <c r="AC249" s="39" t="s">
        <v>245</v>
      </c>
      <c r="AD249" s="18" t="s">
        <v>246</v>
      </c>
      <c r="AE249" s="18" t="s">
        <v>247</v>
      </c>
      <c r="AF249" s="18" t="s">
        <v>248</v>
      </c>
      <c r="AG249" s="18" t="s">
        <v>249</v>
      </c>
      <c r="AH249" s="18" t="s">
        <v>250</v>
      </c>
      <c r="AI249" s="18" t="s">
        <v>251</v>
      </c>
      <c r="AJ249" s="18" t="s">
        <v>252</v>
      </c>
      <c r="AK249" s="18" t="s">
        <v>253</v>
      </c>
      <c r="AL249" s="18" t="s">
        <v>254</v>
      </c>
      <c r="AM249" s="18" t="s">
        <v>255</v>
      </c>
      <c r="AN249" s="18" t="s">
        <v>256</v>
      </c>
      <c r="AO249" s="18" t="s">
        <v>257</v>
      </c>
      <c r="AP249" s="39" t="s">
        <v>258</v>
      </c>
    </row>
    <row r="250" hidden="1" spans="2:42" x14ac:dyDescent="0.25" outlineLevel="1" collapsed="1">
      <c r="B250" s="19" t="s">
        <v>164</v>
      </c>
      <c r="C250" s="40">
        <f>D104</f>
      </c>
      <c r="D250" s="41">
        <f>ROUND($C$104*(1+$D$104)^0/12,0)</f>
      </c>
      <c r="E250" s="41">
        <f>ROUND($C$104*(1+$D$104)^0/12,0)</f>
      </c>
      <c r="F250" s="41">
        <f>ROUND($C$104*(1+$D$104)^0/12,0)</f>
      </c>
      <c r="G250" s="41">
        <f>ROUND($C$104*(1+$D$104)^0/12,0)</f>
      </c>
      <c r="H250" s="41">
        <f>ROUND($C$104*(1+$D$104)^0/12,0)</f>
      </c>
      <c r="I250" s="41">
        <f>ROUND($C$104*(1+$D$104)^0/12,0)</f>
      </c>
      <c r="J250" s="41">
        <f>ROUND($C$104*(1+$D$104)^0/12,0)</f>
      </c>
      <c r="K250" s="41">
        <f>ROUND($C$104*(1+$D$104)^0/12,0)</f>
      </c>
      <c r="L250" s="41">
        <f>ROUND($C$104*(1+$D$104)^0/12,0)</f>
      </c>
      <c r="M250" s="41">
        <f>ROUND($C$104*(1+$D$104)^0/12,0)</f>
      </c>
      <c r="N250" s="41">
        <f>ROUND($C$104*(1+$D$104)^0/12,0)</f>
      </c>
      <c r="O250" s="41">
        <f>ROUND($C$104*(1+$D$104)^0/12,0)</f>
      </c>
      <c r="P250" s="42">
        <f>SUM(D250:O250)</f>
      </c>
      <c r="Q250" s="41">
        <f>ROUND($C$104*(1+$D$104)^1/12,0)</f>
      </c>
      <c r="R250" s="41">
        <f>ROUND($C$104*(1+$D$104)^1/12,0)</f>
      </c>
      <c r="S250" s="41">
        <f>ROUND($C$104*(1+$D$104)^1/12,0)</f>
      </c>
      <c r="T250" s="41">
        <f>ROUND($C$104*(1+$D$104)^1/12,0)</f>
      </c>
      <c r="U250" s="41">
        <f>ROUND($C$104*(1+$D$104)^1/12,0)</f>
      </c>
      <c r="V250" s="41">
        <f>ROUND($C$104*(1+$D$104)^1/12,0)</f>
      </c>
      <c r="W250" s="41">
        <f>ROUND($C$104*(1+$D$104)^1/12,0)</f>
      </c>
      <c r="X250" s="41">
        <f>ROUND($C$104*(1+$D$104)^1/12,0)</f>
      </c>
      <c r="Y250" s="41">
        <f>ROUND($C$104*(1+$D$104)^1/12,0)</f>
      </c>
      <c r="Z250" s="41">
        <f>ROUND($C$104*(1+$D$104)^1/12,0)</f>
      </c>
      <c r="AA250" s="41">
        <f>ROUND($C$104*(1+$D$104)^1/12,0)</f>
      </c>
      <c r="AB250" s="41">
        <f>ROUND($C$104*(1+$D$104)^1/12,0)</f>
      </c>
      <c r="AC250" s="42">
        <f>SUM(Q250:AB250)</f>
      </c>
      <c r="AD250" s="41">
        <f>ROUND($C$104*(1+$D$104)^2/12,0)</f>
      </c>
      <c r="AE250" s="41">
        <f>ROUND($C$104*(1+$D$104)^2/12,0)</f>
      </c>
      <c r="AF250" s="41">
        <f>ROUND($C$104*(1+$D$104)^2/12,0)</f>
      </c>
      <c r="AG250" s="41">
        <f>ROUND($C$104*(1+$D$104)^2/12,0)</f>
      </c>
      <c r="AH250" s="41">
        <f>ROUND($C$104*(1+$D$104)^2/12,0)</f>
      </c>
      <c r="AI250" s="41">
        <f>ROUND($C$104*(1+$D$104)^2/12,0)</f>
      </c>
      <c r="AJ250" s="41">
        <f>ROUND($C$104*(1+$D$104)^2/12,0)</f>
      </c>
      <c r="AK250" s="41">
        <f>ROUND($C$104*(1+$D$104)^2/12,0)</f>
      </c>
      <c r="AL250" s="41">
        <f>ROUND($C$104*(1+$D$104)^2/12,0)</f>
      </c>
      <c r="AM250" s="41">
        <f>ROUND($C$104*(1+$D$104)^2/12,0)</f>
      </c>
      <c r="AN250" s="41">
        <f>ROUND($C$104*(1+$D$104)^2/12,0)</f>
      </c>
      <c r="AO250" s="41">
        <f>ROUND($C$104*(1+$D$104)^2/12,0)</f>
      </c>
      <c r="AP250" s="42">
        <f>SUM(AD250:AO250)</f>
      </c>
    </row>
    <row r="251" hidden="1" spans="2:42" x14ac:dyDescent="0.25" outlineLevel="1" collapsed="1">
      <c r="B251" s="19" t="s">
        <v>165</v>
      </c>
      <c r="C251" s="40">
        <f>D105</f>
      </c>
      <c r="D251" s="41">
        <f>ROUND($C$105*(1+$D$105)^0/12,0)</f>
      </c>
      <c r="E251" s="41">
        <f>ROUND($C$105*(1+$D$105)^0/12,0)</f>
      </c>
      <c r="F251" s="41">
        <f>ROUND($C$105*(1+$D$105)^0/12,0)</f>
      </c>
      <c r="G251" s="41">
        <f>ROUND($C$105*(1+$D$105)^0/12,0)</f>
      </c>
      <c r="H251" s="41">
        <f>ROUND($C$105*(1+$D$105)^0/12,0)</f>
      </c>
      <c r="I251" s="41">
        <f>ROUND($C$105*(1+$D$105)^0/12,0)</f>
      </c>
      <c r="J251" s="41">
        <f>ROUND($C$105*(1+$D$105)^0/12,0)</f>
      </c>
      <c r="K251" s="41">
        <f>ROUND($C$105*(1+$D$105)^0/12,0)</f>
      </c>
      <c r="L251" s="41">
        <f>ROUND($C$105*(1+$D$105)^0/12,0)</f>
      </c>
      <c r="M251" s="41">
        <f>ROUND($C$105*(1+$D$105)^0/12,0)</f>
      </c>
      <c r="N251" s="41">
        <f>ROUND($C$105*(1+$D$105)^0/12,0)</f>
      </c>
      <c r="O251" s="41">
        <f>ROUND($C$105*(1+$D$105)^0/12,0)</f>
      </c>
      <c r="P251" s="42">
        <f>SUM(D251:O251)</f>
      </c>
      <c r="Q251" s="41">
        <f>ROUND($C$105*(1+$D$105)^1/12,0)</f>
      </c>
      <c r="R251" s="41">
        <f>ROUND($C$105*(1+$D$105)^1/12,0)</f>
      </c>
      <c r="S251" s="41">
        <f>ROUND($C$105*(1+$D$105)^1/12,0)</f>
      </c>
      <c r="T251" s="41">
        <f>ROUND($C$105*(1+$D$105)^1/12,0)</f>
      </c>
      <c r="U251" s="41">
        <f>ROUND($C$105*(1+$D$105)^1/12,0)</f>
      </c>
      <c r="V251" s="41">
        <f>ROUND($C$105*(1+$D$105)^1/12,0)</f>
      </c>
      <c r="W251" s="41">
        <f>ROUND($C$105*(1+$D$105)^1/12,0)</f>
      </c>
      <c r="X251" s="41">
        <f>ROUND($C$105*(1+$D$105)^1/12,0)</f>
      </c>
      <c r="Y251" s="41">
        <f>ROUND($C$105*(1+$D$105)^1/12,0)</f>
      </c>
      <c r="Z251" s="41">
        <f>ROUND($C$105*(1+$D$105)^1/12,0)</f>
      </c>
      <c r="AA251" s="41">
        <f>ROUND($C$105*(1+$D$105)^1/12,0)</f>
      </c>
      <c r="AB251" s="41">
        <f>ROUND($C$105*(1+$D$105)^1/12,0)</f>
      </c>
      <c r="AC251" s="42">
        <f>SUM(Q251:AB251)</f>
      </c>
      <c r="AD251" s="41">
        <f>ROUND($C$105*(1+$D$105)^2/12,0)</f>
      </c>
      <c r="AE251" s="41">
        <f>ROUND($C$105*(1+$D$105)^2/12,0)</f>
      </c>
      <c r="AF251" s="41">
        <f>ROUND($C$105*(1+$D$105)^2/12,0)</f>
      </c>
      <c r="AG251" s="41">
        <f>ROUND($C$105*(1+$D$105)^2/12,0)</f>
      </c>
      <c r="AH251" s="41">
        <f>ROUND($C$105*(1+$D$105)^2/12,0)</f>
      </c>
      <c r="AI251" s="41">
        <f>ROUND($C$105*(1+$D$105)^2/12,0)</f>
      </c>
      <c r="AJ251" s="41">
        <f>ROUND($C$105*(1+$D$105)^2/12,0)</f>
      </c>
      <c r="AK251" s="41">
        <f>ROUND($C$105*(1+$D$105)^2/12,0)</f>
      </c>
      <c r="AL251" s="41">
        <f>ROUND($C$105*(1+$D$105)^2/12,0)</f>
      </c>
      <c r="AM251" s="41">
        <f>ROUND($C$105*(1+$D$105)^2/12,0)</f>
      </c>
      <c r="AN251" s="41">
        <f>ROUND($C$105*(1+$D$105)^2/12,0)</f>
      </c>
      <c r="AO251" s="41">
        <f>ROUND($C$105*(1+$D$105)^2/12,0)</f>
      </c>
      <c r="AP251" s="42">
        <f>SUM(AD251:AO251)</f>
      </c>
    </row>
    <row r="252" hidden="1" spans="2:42" x14ac:dyDescent="0.25" outlineLevel="1" collapsed="1">
      <c r="B252" s="19" t="s">
        <v>166</v>
      </c>
      <c r="C252" s="40">
        <f>D106</f>
      </c>
      <c r="D252" s="41">
        <f>ROUND($C$106*(1+$D$106)^0/12,0)</f>
      </c>
      <c r="E252" s="41">
        <f>ROUND($C$106*(1+$D$106)^0/12,0)</f>
      </c>
      <c r="F252" s="41">
        <f>ROUND($C$106*(1+$D$106)^0/12,0)</f>
      </c>
      <c r="G252" s="41">
        <f>ROUND($C$106*(1+$D$106)^0/12,0)</f>
      </c>
      <c r="H252" s="41">
        <f>ROUND($C$106*(1+$D$106)^0/12,0)</f>
      </c>
      <c r="I252" s="41">
        <f>ROUND($C$106*(1+$D$106)^0/12,0)</f>
      </c>
      <c r="J252" s="41">
        <f>ROUND($C$106*(1+$D$106)^0/12,0)</f>
      </c>
      <c r="K252" s="41">
        <f>ROUND($C$106*(1+$D$106)^0/12,0)</f>
      </c>
      <c r="L252" s="41">
        <f>ROUND($C$106*(1+$D$106)^0/12,0)</f>
      </c>
      <c r="M252" s="41">
        <f>ROUND($C$106*(1+$D$106)^0/12,0)</f>
      </c>
      <c r="N252" s="41">
        <f>ROUND($C$106*(1+$D$106)^0/12,0)</f>
      </c>
      <c r="O252" s="41">
        <f>ROUND($C$106*(1+$D$106)^0/12,0)</f>
      </c>
      <c r="P252" s="42">
        <f>SUM(D252:O252)</f>
      </c>
      <c r="Q252" s="41">
        <f>ROUND($C$106*(1+$D$106)^1/12,0)</f>
      </c>
      <c r="R252" s="41">
        <f>ROUND($C$106*(1+$D$106)^1/12,0)</f>
      </c>
      <c r="S252" s="41">
        <f>ROUND($C$106*(1+$D$106)^1/12,0)</f>
      </c>
      <c r="T252" s="41">
        <f>ROUND($C$106*(1+$D$106)^1/12,0)</f>
      </c>
      <c r="U252" s="41">
        <f>ROUND($C$106*(1+$D$106)^1/12,0)</f>
      </c>
      <c r="V252" s="41">
        <f>ROUND($C$106*(1+$D$106)^1/12,0)</f>
      </c>
      <c r="W252" s="41">
        <f>ROUND($C$106*(1+$D$106)^1/12,0)</f>
      </c>
      <c r="X252" s="41">
        <f>ROUND($C$106*(1+$D$106)^1/12,0)</f>
      </c>
      <c r="Y252" s="41">
        <f>ROUND($C$106*(1+$D$106)^1/12,0)</f>
      </c>
      <c r="Z252" s="41">
        <f>ROUND($C$106*(1+$D$106)^1/12,0)</f>
      </c>
      <c r="AA252" s="41">
        <f>ROUND($C$106*(1+$D$106)^1/12,0)</f>
      </c>
      <c r="AB252" s="41">
        <f>ROUND($C$106*(1+$D$106)^1/12,0)</f>
      </c>
      <c r="AC252" s="42">
        <f>SUM(Q252:AB252)</f>
      </c>
      <c r="AD252" s="41">
        <f>ROUND($C$106*(1+$D$106)^2/12,0)</f>
      </c>
      <c r="AE252" s="41">
        <f>ROUND($C$106*(1+$D$106)^2/12,0)</f>
      </c>
      <c r="AF252" s="41">
        <f>ROUND($C$106*(1+$D$106)^2/12,0)</f>
      </c>
      <c r="AG252" s="41">
        <f>ROUND($C$106*(1+$D$106)^2/12,0)</f>
      </c>
      <c r="AH252" s="41">
        <f>ROUND($C$106*(1+$D$106)^2/12,0)</f>
      </c>
      <c r="AI252" s="41">
        <f>ROUND($C$106*(1+$D$106)^2/12,0)</f>
      </c>
      <c r="AJ252" s="41">
        <f>ROUND($C$106*(1+$D$106)^2/12,0)</f>
      </c>
      <c r="AK252" s="41">
        <f>ROUND($C$106*(1+$D$106)^2/12,0)</f>
      </c>
      <c r="AL252" s="41">
        <f>ROUND($C$106*(1+$D$106)^2/12,0)</f>
      </c>
      <c r="AM252" s="41">
        <f>ROUND($C$106*(1+$D$106)^2/12,0)</f>
      </c>
      <c r="AN252" s="41">
        <f>ROUND($C$106*(1+$D$106)^2/12,0)</f>
      </c>
      <c r="AO252" s="41">
        <f>ROUND($C$106*(1+$D$106)^2/12,0)</f>
      </c>
      <c r="AP252" s="42">
        <f>SUM(AD252:AO252)</f>
      </c>
    </row>
    <row r="253" hidden="1" spans="2:42" x14ac:dyDescent="0.25" outlineLevel="1" collapsed="1">
      <c r="B253" s="19" t="s">
        <v>167</v>
      </c>
      <c r="C253" s="40">
        <f>D107</f>
      </c>
      <c r="D253" s="41">
        <f>ROUND($C$107*(1+$D$107)^0/12,0)</f>
      </c>
      <c r="E253" s="41">
        <f>ROUND($C$107*(1+$D$107)^0/12,0)</f>
      </c>
      <c r="F253" s="41">
        <f>ROUND($C$107*(1+$D$107)^0/12,0)</f>
      </c>
      <c r="G253" s="41">
        <f>ROUND($C$107*(1+$D$107)^0/12,0)</f>
      </c>
      <c r="H253" s="41">
        <f>ROUND($C$107*(1+$D$107)^0/12,0)</f>
      </c>
      <c r="I253" s="41">
        <f>ROUND($C$107*(1+$D$107)^0/12,0)</f>
      </c>
      <c r="J253" s="41">
        <f>ROUND($C$107*(1+$D$107)^0/12,0)</f>
      </c>
      <c r="K253" s="41">
        <f>ROUND($C$107*(1+$D$107)^0/12,0)</f>
      </c>
      <c r="L253" s="41">
        <f>ROUND($C$107*(1+$D$107)^0/12,0)</f>
      </c>
      <c r="M253" s="41">
        <f>ROUND($C$107*(1+$D$107)^0/12,0)</f>
      </c>
      <c r="N253" s="41">
        <f>ROUND($C$107*(1+$D$107)^0/12,0)</f>
      </c>
      <c r="O253" s="41">
        <f>ROUND($C$107*(1+$D$107)^0/12,0)</f>
      </c>
      <c r="P253" s="42">
        <f>SUM(D253:O253)</f>
      </c>
      <c r="Q253" s="41">
        <f>ROUND($C$107*(1+$D$107)^1/12,0)</f>
      </c>
      <c r="R253" s="41">
        <f>ROUND($C$107*(1+$D$107)^1/12,0)</f>
      </c>
      <c r="S253" s="41">
        <f>ROUND($C$107*(1+$D$107)^1/12,0)</f>
      </c>
      <c r="T253" s="41">
        <f>ROUND($C$107*(1+$D$107)^1/12,0)</f>
      </c>
      <c r="U253" s="41">
        <f>ROUND($C$107*(1+$D$107)^1/12,0)</f>
      </c>
      <c r="V253" s="41">
        <f>ROUND($C$107*(1+$D$107)^1/12,0)</f>
      </c>
      <c r="W253" s="41">
        <f>ROUND($C$107*(1+$D$107)^1/12,0)</f>
      </c>
      <c r="X253" s="41">
        <f>ROUND($C$107*(1+$D$107)^1/12,0)</f>
      </c>
      <c r="Y253" s="41">
        <f>ROUND($C$107*(1+$D$107)^1/12,0)</f>
      </c>
      <c r="Z253" s="41">
        <f>ROUND($C$107*(1+$D$107)^1/12,0)</f>
      </c>
      <c r="AA253" s="41">
        <f>ROUND($C$107*(1+$D$107)^1/12,0)</f>
      </c>
      <c r="AB253" s="41">
        <f>ROUND($C$107*(1+$D$107)^1/12,0)</f>
      </c>
      <c r="AC253" s="42">
        <f>SUM(Q253:AB253)</f>
      </c>
      <c r="AD253" s="41">
        <f>ROUND($C$107*(1+$D$107)^2/12,0)</f>
      </c>
      <c r="AE253" s="41">
        <f>ROUND($C$107*(1+$D$107)^2/12,0)</f>
      </c>
      <c r="AF253" s="41">
        <f>ROUND($C$107*(1+$D$107)^2/12,0)</f>
      </c>
      <c r="AG253" s="41">
        <f>ROUND($C$107*(1+$D$107)^2/12,0)</f>
      </c>
      <c r="AH253" s="41">
        <f>ROUND($C$107*(1+$D$107)^2/12,0)</f>
      </c>
      <c r="AI253" s="41">
        <f>ROUND($C$107*(1+$D$107)^2/12,0)</f>
      </c>
      <c r="AJ253" s="41">
        <f>ROUND($C$107*(1+$D$107)^2/12,0)</f>
      </c>
      <c r="AK253" s="41">
        <f>ROUND($C$107*(1+$D$107)^2/12,0)</f>
      </c>
      <c r="AL253" s="41">
        <f>ROUND($C$107*(1+$D$107)^2/12,0)</f>
      </c>
      <c r="AM253" s="41">
        <f>ROUND($C$107*(1+$D$107)^2/12,0)</f>
      </c>
      <c r="AN253" s="41">
        <f>ROUND($C$107*(1+$D$107)^2/12,0)</f>
      </c>
      <c r="AO253" s="41">
        <f>ROUND($C$107*(1+$D$107)^2/12,0)</f>
      </c>
      <c r="AP253" s="42">
        <f>SUM(AD253:AO253)</f>
      </c>
    </row>
    <row r="254" hidden="1" spans="2:42" x14ac:dyDescent="0.25" outlineLevel="1" collapsed="1">
      <c r="B254" s="19" t="s">
        <v>168</v>
      </c>
      <c r="C254" s="40">
        <f>D108</f>
      </c>
      <c r="D254" s="41">
        <f>ROUND($C$108*(1+$D$108)^0/12,0)</f>
      </c>
      <c r="E254" s="41">
        <f>ROUND($C$108*(1+$D$108)^0/12,0)</f>
      </c>
      <c r="F254" s="41">
        <f>ROUND($C$108*(1+$D$108)^0/12,0)</f>
      </c>
      <c r="G254" s="41">
        <f>ROUND($C$108*(1+$D$108)^0/12,0)</f>
      </c>
      <c r="H254" s="41">
        <f>ROUND($C$108*(1+$D$108)^0/12,0)</f>
      </c>
      <c r="I254" s="41">
        <f>ROUND($C$108*(1+$D$108)^0/12,0)</f>
      </c>
      <c r="J254" s="41">
        <f>ROUND($C$108*(1+$D$108)^0/12,0)</f>
      </c>
      <c r="K254" s="41">
        <f>ROUND($C$108*(1+$D$108)^0/12,0)</f>
      </c>
      <c r="L254" s="41">
        <f>ROUND($C$108*(1+$D$108)^0/12,0)</f>
      </c>
      <c r="M254" s="41">
        <f>ROUND($C$108*(1+$D$108)^0/12,0)</f>
      </c>
      <c r="N254" s="41">
        <f>ROUND($C$108*(1+$D$108)^0/12,0)</f>
      </c>
      <c r="O254" s="41">
        <f>ROUND($C$108*(1+$D$108)^0/12,0)</f>
      </c>
      <c r="P254" s="42">
        <f>SUM(D254:O254)</f>
      </c>
      <c r="Q254" s="41">
        <f>ROUND($C$108*(1+$D$108)^1/12,0)</f>
      </c>
      <c r="R254" s="41">
        <f>ROUND($C$108*(1+$D$108)^1/12,0)</f>
      </c>
      <c r="S254" s="41">
        <f>ROUND($C$108*(1+$D$108)^1/12,0)</f>
      </c>
      <c r="T254" s="41">
        <f>ROUND($C$108*(1+$D$108)^1/12,0)</f>
      </c>
      <c r="U254" s="41">
        <f>ROUND($C$108*(1+$D$108)^1/12,0)</f>
      </c>
      <c r="V254" s="41">
        <f>ROUND($C$108*(1+$D$108)^1/12,0)</f>
      </c>
      <c r="W254" s="41">
        <f>ROUND($C$108*(1+$D$108)^1/12,0)</f>
      </c>
      <c r="X254" s="41">
        <f>ROUND($C$108*(1+$D$108)^1/12,0)</f>
      </c>
      <c r="Y254" s="41">
        <f>ROUND($C$108*(1+$D$108)^1/12,0)</f>
      </c>
      <c r="Z254" s="41">
        <f>ROUND($C$108*(1+$D$108)^1/12,0)</f>
      </c>
      <c r="AA254" s="41">
        <f>ROUND($C$108*(1+$D$108)^1/12,0)</f>
      </c>
      <c r="AB254" s="41">
        <f>ROUND($C$108*(1+$D$108)^1/12,0)</f>
      </c>
      <c r="AC254" s="42">
        <f>SUM(Q254:AB254)</f>
      </c>
      <c r="AD254" s="41">
        <f>ROUND($C$108*(1+$D$108)^2/12,0)</f>
      </c>
      <c r="AE254" s="41">
        <f>ROUND($C$108*(1+$D$108)^2/12,0)</f>
      </c>
      <c r="AF254" s="41">
        <f>ROUND($C$108*(1+$D$108)^2/12,0)</f>
      </c>
      <c r="AG254" s="41">
        <f>ROUND($C$108*(1+$D$108)^2/12,0)</f>
      </c>
      <c r="AH254" s="41">
        <f>ROUND($C$108*(1+$D$108)^2/12,0)</f>
      </c>
      <c r="AI254" s="41">
        <f>ROUND($C$108*(1+$D$108)^2/12,0)</f>
      </c>
      <c r="AJ254" s="41">
        <f>ROUND($C$108*(1+$D$108)^2/12,0)</f>
      </c>
      <c r="AK254" s="41">
        <f>ROUND($C$108*(1+$D$108)^2/12,0)</f>
      </c>
      <c r="AL254" s="41">
        <f>ROUND($C$108*(1+$D$108)^2/12,0)</f>
      </c>
      <c r="AM254" s="41">
        <f>ROUND($C$108*(1+$D$108)^2/12,0)</f>
      </c>
      <c r="AN254" s="41">
        <f>ROUND($C$108*(1+$D$108)^2/12,0)</f>
      </c>
      <c r="AO254" s="41">
        <f>ROUND($C$108*(1+$D$108)^2/12,0)</f>
      </c>
      <c r="AP254" s="42">
        <f>SUM(AD254:AO254)</f>
      </c>
    </row>
    <row r="255" hidden="1" spans="2:42" x14ac:dyDescent="0.25" outlineLevel="1" collapsed="1">
      <c r="B255" s="19" t="s">
        <v>169</v>
      </c>
      <c r="C255" s="40">
        <f>D109</f>
      </c>
      <c r="D255" s="41">
        <f>ROUND($C$109*(1+$D$109)^0/12,0)</f>
      </c>
      <c r="E255" s="41">
        <f>ROUND($C$109*(1+$D$109)^0/12,0)</f>
      </c>
      <c r="F255" s="41">
        <f>ROUND($C$109*(1+$D$109)^0/12,0)</f>
      </c>
      <c r="G255" s="41">
        <f>ROUND($C$109*(1+$D$109)^0/12,0)</f>
      </c>
      <c r="H255" s="41">
        <f>ROUND($C$109*(1+$D$109)^0/12,0)</f>
      </c>
      <c r="I255" s="41">
        <f>ROUND($C$109*(1+$D$109)^0/12,0)</f>
      </c>
      <c r="J255" s="41">
        <f>ROUND($C$109*(1+$D$109)^0/12,0)</f>
      </c>
      <c r="K255" s="41">
        <f>ROUND($C$109*(1+$D$109)^0/12,0)</f>
      </c>
      <c r="L255" s="41">
        <f>ROUND($C$109*(1+$D$109)^0/12,0)</f>
      </c>
      <c r="M255" s="41">
        <f>ROUND($C$109*(1+$D$109)^0/12,0)</f>
      </c>
      <c r="N255" s="41">
        <f>ROUND($C$109*(1+$D$109)^0/12,0)</f>
      </c>
      <c r="O255" s="41">
        <f>ROUND($C$109*(1+$D$109)^0/12,0)</f>
      </c>
      <c r="P255" s="42">
        <f>SUM(D255:O255)</f>
      </c>
      <c r="Q255" s="41">
        <f>ROUND($C$109*(1+$D$109)^1/12,0)</f>
      </c>
      <c r="R255" s="41">
        <f>ROUND($C$109*(1+$D$109)^1/12,0)</f>
      </c>
      <c r="S255" s="41">
        <f>ROUND($C$109*(1+$D$109)^1/12,0)</f>
      </c>
      <c r="T255" s="41">
        <f>ROUND($C$109*(1+$D$109)^1/12,0)</f>
      </c>
      <c r="U255" s="41">
        <f>ROUND($C$109*(1+$D$109)^1/12,0)</f>
      </c>
      <c r="V255" s="41">
        <f>ROUND($C$109*(1+$D$109)^1/12,0)</f>
      </c>
      <c r="W255" s="41">
        <f>ROUND($C$109*(1+$D$109)^1/12,0)</f>
      </c>
      <c r="X255" s="41">
        <f>ROUND($C$109*(1+$D$109)^1/12,0)</f>
      </c>
      <c r="Y255" s="41">
        <f>ROUND($C$109*(1+$D$109)^1/12,0)</f>
      </c>
      <c r="Z255" s="41">
        <f>ROUND($C$109*(1+$D$109)^1/12,0)</f>
      </c>
      <c r="AA255" s="41">
        <f>ROUND($C$109*(1+$D$109)^1/12,0)</f>
      </c>
      <c r="AB255" s="41">
        <f>ROUND($C$109*(1+$D$109)^1/12,0)</f>
      </c>
      <c r="AC255" s="42">
        <f>SUM(Q255:AB255)</f>
      </c>
      <c r="AD255" s="41">
        <f>ROUND($C$109*(1+$D$109)^2/12,0)</f>
      </c>
      <c r="AE255" s="41">
        <f>ROUND($C$109*(1+$D$109)^2/12,0)</f>
      </c>
      <c r="AF255" s="41">
        <f>ROUND($C$109*(1+$D$109)^2/12,0)</f>
      </c>
      <c r="AG255" s="41">
        <f>ROUND($C$109*(1+$D$109)^2/12,0)</f>
      </c>
      <c r="AH255" s="41">
        <f>ROUND($C$109*(1+$D$109)^2/12,0)</f>
      </c>
      <c r="AI255" s="41">
        <f>ROUND($C$109*(1+$D$109)^2/12,0)</f>
      </c>
      <c r="AJ255" s="41">
        <f>ROUND($C$109*(1+$D$109)^2/12,0)</f>
      </c>
      <c r="AK255" s="41">
        <f>ROUND($C$109*(1+$D$109)^2/12,0)</f>
      </c>
      <c r="AL255" s="41">
        <f>ROUND($C$109*(1+$D$109)^2/12,0)</f>
      </c>
      <c r="AM255" s="41">
        <f>ROUND($C$109*(1+$D$109)^2/12,0)</f>
      </c>
      <c r="AN255" s="41">
        <f>ROUND($C$109*(1+$D$109)^2/12,0)</f>
      </c>
      <c r="AO255" s="41">
        <f>ROUND($C$109*(1+$D$109)^2/12,0)</f>
      </c>
      <c r="AP255" s="42">
        <f>SUM(AD255:AO255)</f>
      </c>
    </row>
    <row r="256" hidden="1" spans="2:42" x14ac:dyDescent="0.25" outlineLevel="1" collapsed="1">
      <c r="B256" s="19" t="s">
        <v>170</v>
      </c>
      <c r="C256" s="40">
        <f>D110</f>
      </c>
      <c r="D256" s="41">
        <f>ROUND($C$110*(1+$D$110)^0/12,0)</f>
      </c>
      <c r="E256" s="41">
        <f>ROUND($C$110*(1+$D$110)^0/12,0)</f>
      </c>
      <c r="F256" s="41">
        <f>ROUND($C$110*(1+$D$110)^0/12,0)</f>
      </c>
      <c r="G256" s="41">
        <f>ROUND($C$110*(1+$D$110)^0/12,0)</f>
      </c>
      <c r="H256" s="41">
        <f>ROUND($C$110*(1+$D$110)^0/12,0)</f>
      </c>
      <c r="I256" s="41">
        <f>ROUND($C$110*(1+$D$110)^0/12,0)</f>
      </c>
      <c r="J256" s="41">
        <f>ROUND($C$110*(1+$D$110)^0/12,0)</f>
      </c>
      <c r="K256" s="41">
        <f>ROUND($C$110*(1+$D$110)^0/12,0)</f>
      </c>
      <c r="L256" s="41">
        <f>ROUND($C$110*(1+$D$110)^0/12,0)</f>
      </c>
      <c r="M256" s="41">
        <f>ROUND($C$110*(1+$D$110)^0/12,0)</f>
      </c>
      <c r="N256" s="41">
        <f>ROUND($C$110*(1+$D$110)^0/12,0)</f>
      </c>
      <c r="O256" s="41">
        <f>ROUND($C$110*(1+$D$110)^0/12,0)</f>
      </c>
      <c r="P256" s="42">
        <f>SUM(D256:O256)</f>
      </c>
      <c r="Q256" s="41">
        <f>ROUND($C$110*(1+$D$110)^1/12,0)</f>
      </c>
      <c r="R256" s="41">
        <f>ROUND($C$110*(1+$D$110)^1/12,0)</f>
      </c>
      <c r="S256" s="41">
        <f>ROUND($C$110*(1+$D$110)^1/12,0)</f>
      </c>
      <c r="T256" s="41">
        <f>ROUND($C$110*(1+$D$110)^1/12,0)</f>
      </c>
      <c r="U256" s="41">
        <f>ROUND($C$110*(1+$D$110)^1/12,0)</f>
      </c>
      <c r="V256" s="41">
        <f>ROUND($C$110*(1+$D$110)^1/12,0)</f>
      </c>
      <c r="W256" s="41">
        <f>ROUND($C$110*(1+$D$110)^1/12,0)</f>
      </c>
      <c r="X256" s="41">
        <f>ROUND($C$110*(1+$D$110)^1/12,0)</f>
      </c>
      <c r="Y256" s="41">
        <f>ROUND($C$110*(1+$D$110)^1/12,0)</f>
      </c>
      <c r="Z256" s="41">
        <f>ROUND($C$110*(1+$D$110)^1/12,0)</f>
      </c>
      <c r="AA256" s="41">
        <f>ROUND($C$110*(1+$D$110)^1/12,0)</f>
      </c>
      <c r="AB256" s="41">
        <f>ROUND($C$110*(1+$D$110)^1/12,0)</f>
      </c>
      <c r="AC256" s="42">
        <f>SUM(Q256:AB256)</f>
      </c>
      <c r="AD256" s="41">
        <f>ROUND($C$110*(1+$D$110)^2/12,0)</f>
      </c>
      <c r="AE256" s="41">
        <f>ROUND($C$110*(1+$D$110)^2/12,0)</f>
      </c>
      <c r="AF256" s="41">
        <f>ROUND($C$110*(1+$D$110)^2/12,0)</f>
      </c>
      <c r="AG256" s="41">
        <f>ROUND($C$110*(1+$D$110)^2/12,0)</f>
      </c>
      <c r="AH256" s="41">
        <f>ROUND($C$110*(1+$D$110)^2/12,0)</f>
      </c>
      <c r="AI256" s="41">
        <f>ROUND($C$110*(1+$D$110)^2/12,0)</f>
      </c>
      <c r="AJ256" s="41">
        <f>ROUND($C$110*(1+$D$110)^2/12,0)</f>
      </c>
      <c r="AK256" s="41">
        <f>ROUND($C$110*(1+$D$110)^2/12,0)</f>
      </c>
      <c r="AL256" s="41">
        <f>ROUND($C$110*(1+$D$110)^2/12,0)</f>
      </c>
      <c r="AM256" s="41">
        <f>ROUND($C$110*(1+$D$110)^2/12,0)</f>
      </c>
      <c r="AN256" s="41">
        <f>ROUND($C$110*(1+$D$110)^2/12,0)</f>
      </c>
      <c r="AO256" s="41">
        <f>ROUND($C$110*(1+$D$110)^2/12,0)</f>
      </c>
      <c r="AP256" s="42">
        <f>SUM(AD256:AO256)</f>
      </c>
    </row>
    <row r="257" hidden="1" spans="2:42" x14ac:dyDescent="0.25" outlineLevel="1" collapsed="1">
      <c r="B257" s="19" t="s">
        <v>171</v>
      </c>
      <c r="C257" s="40">
        <f>D111</f>
      </c>
      <c r="D257" s="41">
        <f>ROUND($C$111*(1+$D$111)^0/12,0)</f>
      </c>
      <c r="E257" s="41">
        <f>ROUND($C$111*(1+$D$111)^0/12,0)</f>
      </c>
      <c r="F257" s="41">
        <f>ROUND($C$111*(1+$D$111)^0/12,0)</f>
      </c>
      <c r="G257" s="41">
        <f>ROUND($C$111*(1+$D$111)^0/12,0)</f>
      </c>
      <c r="H257" s="41">
        <f>ROUND($C$111*(1+$D$111)^0/12,0)</f>
      </c>
      <c r="I257" s="41">
        <f>ROUND($C$111*(1+$D$111)^0/12,0)</f>
      </c>
      <c r="J257" s="41">
        <f>ROUND($C$111*(1+$D$111)^0/12,0)</f>
      </c>
      <c r="K257" s="41">
        <f>ROUND($C$111*(1+$D$111)^0/12,0)</f>
      </c>
      <c r="L257" s="41">
        <f>ROUND($C$111*(1+$D$111)^0/12,0)</f>
      </c>
      <c r="M257" s="41">
        <f>ROUND($C$111*(1+$D$111)^0/12,0)</f>
      </c>
      <c r="N257" s="41">
        <f>ROUND($C$111*(1+$D$111)^0/12,0)</f>
      </c>
      <c r="O257" s="41">
        <f>ROUND($C$111*(1+$D$111)^0/12,0)</f>
      </c>
      <c r="P257" s="42">
        <f>SUM(D257:O257)</f>
      </c>
      <c r="Q257" s="41">
        <f>ROUND($C$111*(1+$D$111)^1/12,0)</f>
      </c>
      <c r="R257" s="41">
        <f>ROUND($C$111*(1+$D$111)^1/12,0)</f>
      </c>
      <c r="S257" s="41">
        <f>ROUND($C$111*(1+$D$111)^1/12,0)</f>
      </c>
      <c r="T257" s="41">
        <f>ROUND($C$111*(1+$D$111)^1/12,0)</f>
      </c>
      <c r="U257" s="41">
        <f>ROUND($C$111*(1+$D$111)^1/12,0)</f>
      </c>
      <c r="V257" s="41">
        <f>ROUND($C$111*(1+$D$111)^1/12,0)</f>
      </c>
      <c r="W257" s="41">
        <f>ROUND($C$111*(1+$D$111)^1/12,0)</f>
      </c>
      <c r="X257" s="41">
        <f>ROUND($C$111*(1+$D$111)^1/12,0)</f>
      </c>
      <c r="Y257" s="41">
        <f>ROUND($C$111*(1+$D$111)^1/12,0)</f>
      </c>
      <c r="Z257" s="41">
        <f>ROUND($C$111*(1+$D$111)^1/12,0)</f>
      </c>
      <c r="AA257" s="41">
        <f>ROUND($C$111*(1+$D$111)^1/12,0)</f>
      </c>
      <c r="AB257" s="41">
        <f>ROUND($C$111*(1+$D$111)^1/12,0)</f>
      </c>
      <c r="AC257" s="42">
        <f>SUM(Q257:AB257)</f>
      </c>
      <c r="AD257" s="41">
        <f>ROUND($C$111*(1+$D$111)^2/12,0)</f>
      </c>
      <c r="AE257" s="41">
        <f>ROUND($C$111*(1+$D$111)^2/12,0)</f>
      </c>
      <c r="AF257" s="41">
        <f>ROUND($C$111*(1+$D$111)^2/12,0)</f>
      </c>
      <c r="AG257" s="41">
        <f>ROUND($C$111*(1+$D$111)^2/12,0)</f>
      </c>
      <c r="AH257" s="41">
        <f>ROUND($C$111*(1+$D$111)^2/12,0)</f>
      </c>
      <c r="AI257" s="41">
        <f>ROUND($C$111*(1+$D$111)^2/12,0)</f>
      </c>
      <c r="AJ257" s="41">
        <f>ROUND($C$111*(1+$D$111)^2/12,0)</f>
      </c>
      <c r="AK257" s="41">
        <f>ROUND($C$111*(1+$D$111)^2/12,0)</f>
      </c>
      <c r="AL257" s="41">
        <f>ROUND($C$111*(1+$D$111)^2/12,0)</f>
      </c>
      <c r="AM257" s="41">
        <f>ROUND($C$111*(1+$D$111)^2/12,0)</f>
      </c>
      <c r="AN257" s="41">
        <f>ROUND($C$111*(1+$D$111)^2/12,0)</f>
      </c>
      <c r="AO257" s="41">
        <f>ROUND($C$111*(1+$D$111)^2/12,0)</f>
      </c>
      <c r="AP257" s="42">
        <f>SUM(AD257:AO257)</f>
      </c>
    </row>
    <row r="258" hidden="1" spans="2:42" x14ac:dyDescent="0.25" outlineLevel="1" collapsed="1">
      <c r="B258" s="19" t="s">
        <v>172</v>
      </c>
      <c r="C258" s="40">
        <f>D112</f>
      </c>
      <c r="D258" s="41">
        <f>ROUND($C$112*(1+$D$112)^0/12,0)</f>
      </c>
      <c r="E258" s="41">
        <f>ROUND($C$112*(1+$D$112)^0/12,0)</f>
      </c>
      <c r="F258" s="41">
        <f>ROUND($C$112*(1+$D$112)^0/12,0)</f>
      </c>
      <c r="G258" s="41">
        <f>ROUND($C$112*(1+$D$112)^0/12,0)</f>
      </c>
      <c r="H258" s="41">
        <f>ROUND($C$112*(1+$D$112)^0/12,0)</f>
      </c>
      <c r="I258" s="41">
        <f>ROUND($C$112*(1+$D$112)^0/12,0)</f>
      </c>
      <c r="J258" s="41">
        <f>ROUND($C$112*(1+$D$112)^0/12,0)</f>
      </c>
      <c r="K258" s="41">
        <f>ROUND($C$112*(1+$D$112)^0/12,0)</f>
      </c>
      <c r="L258" s="41">
        <f>ROUND($C$112*(1+$D$112)^0/12,0)</f>
      </c>
      <c r="M258" s="41">
        <f>ROUND($C$112*(1+$D$112)^0/12,0)</f>
      </c>
      <c r="N258" s="41">
        <f>ROUND($C$112*(1+$D$112)^0/12,0)</f>
      </c>
      <c r="O258" s="41">
        <f>ROUND($C$112*(1+$D$112)^0/12,0)</f>
      </c>
      <c r="P258" s="42">
        <f>SUM(D258:O258)</f>
      </c>
      <c r="Q258" s="41">
        <f>ROUND($C$112*(1+$D$112)^1/12,0)</f>
      </c>
      <c r="R258" s="41">
        <f>ROUND($C$112*(1+$D$112)^1/12,0)</f>
      </c>
      <c r="S258" s="41">
        <f>ROUND($C$112*(1+$D$112)^1/12,0)</f>
      </c>
      <c r="T258" s="41">
        <f>ROUND($C$112*(1+$D$112)^1/12,0)</f>
      </c>
      <c r="U258" s="41">
        <f>ROUND($C$112*(1+$D$112)^1/12,0)</f>
      </c>
      <c r="V258" s="41">
        <f>ROUND($C$112*(1+$D$112)^1/12,0)</f>
      </c>
      <c r="W258" s="41">
        <f>ROUND($C$112*(1+$D$112)^1/12,0)</f>
      </c>
      <c r="X258" s="41">
        <f>ROUND($C$112*(1+$D$112)^1/12,0)</f>
      </c>
      <c r="Y258" s="41">
        <f>ROUND($C$112*(1+$D$112)^1/12,0)</f>
      </c>
      <c r="Z258" s="41">
        <f>ROUND($C$112*(1+$D$112)^1/12,0)</f>
      </c>
      <c r="AA258" s="41">
        <f>ROUND($C$112*(1+$D$112)^1/12,0)</f>
      </c>
      <c r="AB258" s="41">
        <f>ROUND($C$112*(1+$D$112)^1/12,0)</f>
      </c>
      <c r="AC258" s="42">
        <f>SUM(Q258:AB258)</f>
      </c>
      <c r="AD258" s="41">
        <f>ROUND($C$112*(1+$D$112)^2/12,0)</f>
      </c>
      <c r="AE258" s="41">
        <f>ROUND($C$112*(1+$D$112)^2/12,0)</f>
      </c>
      <c r="AF258" s="41">
        <f>ROUND($C$112*(1+$D$112)^2/12,0)</f>
      </c>
      <c r="AG258" s="41">
        <f>ROUND($C$112*(1+$D$112)^2/12,0)</f>
      </c>
      <c r="AH258" s="41">
        <f>ROUND($C$112*(1+$D$112)^2/12,0)</f>
      </c>
      <c r="AI258" s="41">
        <f>ROUND($C$112*(1+$D$112)^2/12,0)</f>
      </c>
      <c r="AJ258" s="41">
        <f>ROUND($C$112*(1+$D$112)^2/12,0)</f>
      </c>
      <c r="AK258" s="41">
        <f>ROUND($C$112*(1+$D$112)^2/12,0)</f>
      </c>
      <c r="AL258" s="41">
        <f>ROUND($C$112*(1+$D$112)^2/12,0)</f>
      </c>
      <c r="AM258" s="41">
        <f>ROUND($C$112*(1+$D$112)^2/12,0)</f>
      </c>
      <c r="AN258" s="41">
        <f>ROUND($C$112*(1+$D$112)^2/12,0)</f>
      </c>
      <c r="AO258" s="41">
        <f>ROUND($C$112*(1+$D$112)^2/12,0)</f>
      </c>
      <c r="AP258" s="42">
        <f>SUM(AD258:AO258)</f>
      </c>
    </row>
    <row r="259" hidden="1" spans="2:42" x14ac:dyDescent="0.25" outlineLevel="1" collapsed="1">
      <c r="B259" s="19" t="s">
        <v>174</v>
      </c>
      <c r="C259" s="40">
        <f>D117</f>
      </c>
      <c r="D259" s="41">
        <f>ROUND($C$123*(1+$D$117)^0,0)</f>
      </c>
      <c r="E259" s="41">
        <f>ROUND($D$123*(1+$D$117)^0,0)</f>
      </c>
      <c r="F259" s="41">
        <f>ROUND($E$123*(1+$D$117)^0,0)</f>
      </c>
      <c r="G259" s="41">
        <f>ROUND($F$123*(1+$D$117)^0,0)</f>
      </c>
      <c r="H259" s="41">
        <f>ROUND($G$123*(1+$D$117)^0,0)</f>
      </c>
      <c r="I259" s="41">
        <f>ROUND($H$123*(1+$D$117)^0,0)</f>
      </c>
      <c r="J259" s="41">
        <f>ROUND($I$123*(1+$D$117)^0,0)</f>
      </c>
      <c r="K259" s="41">
        <f>ROUND($J$123*(1+$D$117)^0,0)</f>
      </c>
      <c r="L259" s="41">
        <f>ROUND($K$123*(1+$D$117)^0,0)</f>
      </c>
      <c r="M259" s="41">
        <f>ROUND($L$123*(1+$D$117)^0,0)</f>
      </c>
      <c r="N259" s="41">
        <f>ROUND($M$123*(1+$D$117)^0,0)</f>
      </c>
      <c r="O259" s="41">
        <f>ROUND($N$123*(1+$D$117)^0,0)</f>
      </c>
      <c r="P259" s="42">
        <f>SUM(D259:O259)</f>
      </c>
      <c r="Q259" s="41">
        <f>ROUND($C$123*(1+$D$117)^1,0)</f>
      </c>
      <c r="R259" s="41">
        <f>ROUND($D$123*(1+$D$117)^1,0)</f>
      </c>
      <c r="S259" s="41">
        <f>ROUND($E$123*(1+$D$117)^1,0)</f>
      </c>
      <c r="T259" s="41">
        <f>ROUND($F$123*(1+$D$117)^1,0)</f>
      </c>
      <c r="U259" s="41">
        <f>ROUND($G$123*(1+$D$117)^1,0)</f>
      </c>
      <c r="V259" s="41">
        <f>ROUND($H$123*(1+$D$117)^1,0)</f>
      </c>
      <c r="W259" s="41">
        <f>ROUND($I$123*(1+$D$117)^1,0)</f>
      </c>
      <c r="X259" s="41">
        <f>ROUND($J$123*(1+$D$117)^1,0)</f>
      </c>
      <c r="Y259" s="41">
        <f>ROUND($K$123*(1+$D$117)^1,0)</f>
      </c>
      <c r="Z259" s="41">
        <f>ROUND($L$123*(1+$D$117)^1,0)</f>
      </c>
      <c r="AA259" s="41">
        <f>ROUND($M$123*(1+$D$117)^1,0)</f>
      </c>
      <c r="AB259" s="41">
        <f>ROUND($N$123*(1+$D$117)^1,0)</f>
      </c>
      <c r="AC259" s="42">
        <f>SUM(Q259:AB259)</f>
      </c>
      <c r="AD259" s="41">
        <f>ROUND($C$123*(1+$D$117)^2,0)</f>
      </c>
      <c r="AE259" s="41">
        <f>ROUND($D$123*(1+$D$117)^2,0)</f>
      </c>
      <c r="AF259" s="41">
        <f>ROUND($E$123*(1+$D$117)^2,0)</f>
      </c>
      <c r="AG259" s="41">
        <f>ROUND($F$123*(1+$D$117)^2,0)</f>
      </c>
      <c r="AH259" s="41">
        <f>ROUND($G$123*(1+$D$117)^2,0)</f>
      </c>
      <c r="AI259" s="41">
        <f>ROUND($H$123*(1+$D$117)^2,0)</f>
      </c>
      <c r="AJ259" s="41">
        <f>ROUND($I$123*(1+$D$117)^2,0)</f>
      </c>
      <c r="AK259" s="41">
        <f>ROUND($J$123*(1+$D$117)^2,0)</f>
      </c>
      <c r="AL259" s="41">
        <f>ROUND($K$123*(1+$D$117)^2,0)</f>
      </c>
      <c r="AM259" s="41">
        <f>ROUND($L$123*(1+$D$117)^2,0)</f>
      </c>
      <c r="AN259" s="41">
        <f>ROUND($M$123*(1+$D$117)^2,0)</f>
      </c>
      <c r="AO259" s="41">
        <f>ROUND($N$123*(1+$D$117)^2,0)</f>
      </c>
      <c r="AP259" s="42">
        <f>SUM(AD259:AO259)</f>
      </c>
    </row>
    <row r="260" hidden="1" spans="2:42" x14ac:dyDescent="0.25" outlineLevel="1" collapsed="1">
      <c r="B260" s="19" t="s">
        <v>175</v>
      </c>
      <c r="C260" s="40">
        <f>D118</f>
      </c>
      <c r="D260" s="41">
        <f>ROUND($C$124*(1+$D$118)^0,0)</f>
      </c>
      <c r="E260" s="41">
        <f>ROUND($D$124*(1+$D$118)^0,0)</f>
      </c>
      <c r="F260" s="41">
        <f>ROUND($E$124*(1+$D$118)^0,0)</f>
      </c>
      <c r="G260" s="41">
        <f>ROUND($F$124*(1+$D$118)^0,0)</f>
      </c>
      <c r="H260" s="41">
        <f>ROUND($G$124*(1+$D$118)^0,0)</f>
      </c>
      <c r="I260" s="41">
        <f>ROUND($H$124*(1+$D$118)^0,0)</f>
      </c>
      <c r="J260" s="41">
        <f>ROUND($I$124*(1+$D$118)^0,0)</f>
      </c>
      <c r="K260" s="41">
        <f>ROUND($J$124*(1+$D$118)^0,0)</f>
      </c>
      <c r="L260" s="41">
        <f>ROUND($K$124*(1+$D$118)^0,0)</f>
      </c>
      <c r="M260" s="41">
        <f>ROUND($L$124*(1+$D$118)^0,0)</f>
      </c>
      <c r="N260" s="41">
        <f>ROUND($M$124*(1+$D$118)^0,0)</f>
      </c>
      <c r="O260" s="41">
        <f>ROUND($N$124*(1+$D$118)^0,0)</f>
      </c>
      <c r="P260" s="42">
        <f>SUM(D260:O260)</f>
      </c>
      <c r="Q260" s="41">
        <f>ROUND($C$124*(1+$D$118)^1,0)</f>
      </c>
      <c r="R260" s="41">
        <f>ROUND($D$124*(1+$D$118)^1,0)</f>
      </c>
      <c r="S260" s="41">
        <f>ROUND($E$124*(1+$D$118)^1,0)</f>
      </c>
      <c r="T260" s="41">
        <f>ROUND($F$124*(1+$D$118)^1,0)</f>
      </c>
      <c r="U260" s="41">
        <f>ROUND($G$124*(1+$D$118)^1,0)</f>
      </c>
      <c r="V260" s="41">
        <f>ROUND($H$124*(1+$D$118)^1,0)</f>
      </c>
      <c r="W260" s="41">
        <f>ROUND($I$124*(1+$D$118)^1,0)</f>
      </c>
      <c r="X260" s="41">
        <f>ROUND($J$124*(1+$D$118)^1,0)</f>
      </c>
      <c r="Y260" s="41">
        <f>ROUND($K$124*(1+$D$118)^1,0)</f>
      </c>
      <c r="Z260" s="41">
        <f>ROUND($L$124*(1+$D$118)^1,0)</f>
      </c>
      <c r="AA260" s="41">
        <f>ROUND($M$124*(1+$D$118)^1,0)</f>
      </c>
      <c r="AB260" s="41">
        <f>ROUND($N$124*(1+$D$118)^1,0)</f>
      </c>
      <c r="AC260" s="42">
        <f>SUM(Q260:AB260)</f>
      </c>
      <c r="AD260" s="41">
        <f>ROUND($C$124*(1+$D$118)^2,0)</f>
      </c>
      <c r="AE260" s="41">
        <f>ROUND($D$124*(1+$D$118)^2,0)</f>
      </c>
      <c r="AF260" s="41">
        <f>ROUND($E$124*(1+$D$118)^2,0)</f>
      </c>
      <c r="AG260" s="41">
        <f>ROUND($F$124*(1+$D$118)^2,0)</f>
      </c>
      <c r="AH260" s="41">
        <f>ROUND($G$124*(1+$D$118)^2,0)</f>
      </c>
      <c r="AI260" s="41">
        <f>ROUND($H$124*(1+$D$118)^2,0)</f>
      </c>
      <c r="AJ260" s="41">
        <f>ROUND($I$124*(1+$D$118)^2,0)</f>
      </c>
      <c r="AK260" s="41">
        <f>ROUND($J$124*(1+$D$118)^2,0)</f>
      </c>
      <c r="AL260" s="41">
        <f>ROUND($K$124*(1+$D$118)^2,0)</f>
      </c>
      <c r="AM260" s="41">
        <f>ROUND($L$124*(1+$D$118)^2,0)</f>
      </c>
      <c r="AN260" s="41">
        <f>ROUND($M$124*(1+$D$118)^2,0)</f>
      </c>
      <c r="AO260" s="41">
        <f>ROUND($N$124*(1+$D$118)^2,0)</f>
      </c>
      <c r="AP260" s="42">
        <f>SUM(AD260:AO260)</f>
      </c>
    </row>
    <row r="261" hidden="1" spans="2:42" x14ac:dyDescent="0.25" outlineLevel="1" collapsed="1">
      <c r="B261" s="19" t="s">
        <v>179</v>
      </c>
      <c r="C261" s="40" t="s">
        <v>259</v>
      </c>
      <c r="D261" s="41">
        <f>IF(DATE(2026,1,1)=DATE($D$129,$C$129,1),$E$129,0)+IF(DATE(2026,1,1)=DATE($D$130,$C$130,1),$E$130,0)+IF(DATE(2026,1,1)=DATE($D$131,$C$131,1),$E$131,0)+IF(DATE(2026,1,1)=DATE($D$132,$C$132,1),$E$132,0)+IF(DATE(2026,1,1)=DATE($D$133,$C$133,1),$E$133,0)+IF(DATE(2026,1,1)=DATE($D$134,$C$134,1),$E$134,0)+IF(DATE(2026,1,1)=DATE($D$135,$C$135,1),$E$135,0)</f>
      </c>
      <c r="E261" s="41">
        <f>IF(DATE(2026,2,1)=DATE($D$129,$C$129,1),$E$129,0)+IF(DATE(2026,2,1)=DATE($D$130,$C$130,1),$E$130,0)+IF(DATE(2026,2,1)=DATE($D$131,$C$131,1),$E$131,0)+IF(DATE(2026,2,1)=DATE($D$132,$C$132,1),$E$132,0)+IF(DATE(2026,2,1)=DATE($D$133,$C$133,1),$E$133,0)+IF(DATE(2026,2,1)=DATE($D$134,$C$134,1),$E$134,0)+IF(DATE(2026,2,1)=DATE($D$135,$C$135,1),$E$135,0)</f>
      </c>
      <c r="F261" s="41">
        <f>IF(DATE(2026,3,1)=DATE($D$129,$C$129,1),$E$129,0)+IF(DATE(2026,3,1)=DATE($D$130,$C$130,1),$E$130,0)+IF(DATE(2026,3,1)=DATE($D$131,$C$131,1),$E$131,0)+IF(DATE(2026,3,1)=DATE($D$132,$C$132,1),$E$132,0)+IF(DATE(2026,3,1)=DATE($D$133,$C$133,1),$E$133,0)+IF(DATE(2026,3,1)=DATE($D$134,$C$134,1),$E$134,0)+IF(DATE(2026,3,1)=DATE($D$135,$C$135,1),$E$135,0)</f>
      </c>
      <c r="G261" s="41">
        <f>IF(DATE(2026,4,1)=DATE($D$129,$C$129,1),$E$129,0)+IF(DATE(2026,4,1)=DATE($D$130,$C$130,1),$E$130,0)+IF(DATE(2026,4,1)=DATE($D$131,$C$131,1),$E$131,0)+IF(DATE(2026,4,1)=DATE($D$132,$C$132,1),$E$132,0)+IF(DATE(2026,4,1)=DATE($D$133,$C$133,1),$E$133,0)+IF(DATE(2026,4,1)=DATE($D$134,$C$134,1),$E$134,0)+IF(DATE(2026,4,1)=DATE($D$135,$C$135,1),$E$135,0)</f>
      </c>
      <c r="H261" s="41">
        <f>IF(DATE(2026,5,1)=DATE($D$129,$C$129,1),$E$129,0)+IF(DATE(2026,5,1)=DATE($D$130,$C$130,1),$E$130,0)+IF(DATE(2026,5,1)=DATE($D$131,$C$131,1),$E$131,0)+IF(DATE(2026,5,1)=DATE($D$132,$C$132,1),$E$132,0)+IF(DATE(2026,5,1)=DATE($D$133,$C$133,1),$E$133,0)+IF(DATE(2026,5,1)=DATE($D$134,$C$134,1),$E$134,0)+IF(DATE(2026,5,1)=DATE($D$135,$C$135,1),$E$135,0)</f>
      </c>
      <c r="I261" s="41">
        <f>IF(DATE(2026,6,1)=DATE($D$129,$C$129,1),$E$129,0)+IF(DATE(2026,6,1)=DATE($D$130,$C$130,1),$E$130,0)+IF(DATE(2026,6,1)=DATE($D$131,$C$131,1),$E$131,0)+IF(DATE(2026,6,1)=DATE($D$132,$C$132,1),$E$132,0)+IF(DATE(2026,6,1)=DATE($D$133,$C$133,1),$E$133,0)+IF(DATE(2026,6,1)=DATE($D$134,$C$134,1),$E$134,0)+IF(DATE(2026,6,1)=DATE($D$135,$C$135,1),$E$135,0)</f>
      </c>
      <c r="J261" s="41">
        <f>IF(DATE(2026,7,1)=DATE($D$129,$C$129,1),$E$129,0)+IF(DATE(2026,7,1)=DATE($D$130,$C$130,1),$E$130,0)+IF(DATE(2026,7,1)=DATE($D$131,$C$131,1),$E$131,0)+IF(DATE(2026,7,1)=DATE($D$132,$C$132,1),$E$132,0)+IF(DATE(2026,7,1)=DATE($D$133,$C$133,1),$E$133,0)+IF(DATE(2026,7,1)=DATE($D$134,$C$134,1),$E$134,0)+IF(DATE(2026,7,1)=DATE($D$135,$C$135,1),$E$135,0)</f>
      </c>
      <c r="K261" s="41">
        <f>IF(DATE(2026,8,1)=DATE($D$129,$C$129,1),$E$129,0)+IF(DATE(2026,8,1)=DATE($D$130,$C$130,1),$E$130,0)+IF(DATE(2026,8,1)=DATE($D$131,$C$131,1),$E$131,0)+IF(DATE(2026,8,1)=DATE($D$132,$C$132,1),$E$132,0)+IF(DATE(2026,8,1)=DATE($D$133,$C$133,1),$E$133,0)+IF(DATE(2026,8,1)=DATE($D$134,$C$134,1),$E$134,0)+IF(DATE(2026,8,1)=DATE($D$135,$C$135,1),$E$135,0)</f>
      </c>
      <c r="L261" s="41">
        <f>IF(DATE(2026,9,1)=DATE($D$129,$C$129,1),$E$129,0)+IF(DATE(2026,9,1)=DATE($D$130,$C$130,1),$E$130,0)+IF(DATE(2026,9,1)=DATE($D$131,$C$131,1),$E$131,0)+IF(DATE(2026,9,1)=DATE($D$132,$C$132,1),$E$132,0)+IF(DATE(2026,9,1)=DATE($D$133,$C$133,1),$E$133,0)+IF(DATE(2026,9,1)=DATE($D$134,$C$134,1),$E$134,0)+IF(DATE(2026,9,1)=DATE($D$135,$C$135,1),$E$135,0)</f>
      </c>
      <c r="M261" s="41">
        <f>IF(DATE(2026,10,1)=DATE($D$129,$C$129,1),$E$129,0)+IF(DATE(2026,10,1)=DATE($D$130,$C$130,1),$E$130,0)+IF(DATE(2026,10,1)=DATE($D$131,$C$131,1),$E$131,0)+IF(DATE(2026,10,1)=DATE($D$132,$C$132,1),$E$132,0)+IF(DATE(2026,10,1)=DATE($D$133,$C$133,1),$E$133,0)+IF(DATE(2026,10,1)=DATE($D$134,$C$134,1),$E$134,0)+IF(DATE(2026,10,1)=DATE($D$135,$C$135,1),$E$135,0)</f>
      </c>
      <c r="N261" s="41">
        <f>IF(DATE(2026,11,1)=DATE($D$129,$C$129,1),$E$129,0)+IF(DATE(2026,11,1)=DATE($D$130,$C$130,1),$E$130,0)+IF(DATE(2026,11,1)=DATE($D$131,$C$131,1),$E$131,0)+IF(DATE(2026,11,1)=DATE($D$132,$C$132,1),$E$132,0)+IF(DATE(2026,11,1)=DATE($D$133,$C$133,1),$E$133,0)+IF(DATE(2026,11,1)=DATE($D$134,$C$134,1),$E$134,0)+IF(DATE(2026,11,1)=DATE($D$135,$C$135,1),$E$135,0)</f>
      </c>
      <c r="O261" s="41">
        <f>IF(DATE(2026,12,1)=DATE($D$129,$C$129,1),$E$129,0)+IF(DATE(2026,12,1)=DATE($D$130,$C$130,1),$E$130,0)+IF(DATE(2026,12,1)=DATE($D$131,$C$131,1),$E$131,0)+IF(DATE(2026,12,1)=DATE($D$132,$C$132,1),$E$132,0)+IF(DATE(2026,12,1)=DATE($D$133,$C$133,1),$E$133,0)+IF(DATE(2026,12,1)=DATE($D$134,$C$134,1),$E$134,0)+IF(DATE(2026,12,1)=DATE($D$135,$C$135,1),$E$135,0)</f>
      </c>
      <c r="P261" s="42">
        <f>SUM(D261:O261)</f>
      </c>
      <c r="Q261" s="41">
        <f>IF(DATE(2027,1,1)=DATE($D$129,$C$129,1),$E$129,0)+IF(DATE(2027,1,1)=DATE($D$130,$C$130,1),$E$130,0)+IF(DATE(2027,1,1)=DATE($D$131,$C$131,1),$E$131,0)+IF(DATE(2027,1,1)=DATE($D$132,$C$132,1),$E$132,0)+IF(DATE(2027,1,1)=DATE($D$133,$C$133,1),$E$133,0)+IF(DATE(2027,1,1)=DATE($D$134,$C$134,1),$E$134,0)+IF(DATE(2027,1,1)=DATE($D$135,$C$135,1),$E$135,0)</f>
      </c>
      <c r="R261" s="41">
        <f>IF(DATE(2027,2,1)=DATE($D$129,$C$129,1),$E$129,0)+IF(DATE(2027,2,1)=DATE($D$130,$C$130,1),$E$130,0)+IF(DATE(2027,2,1)=DATE($D$131,$C$131,1),$E$131,0)+IF(DATE(2027,2,1)=DATE($D$132,$C$132,1),$E$132,0)+IF(DATE(2027,2,1)=DATE($D$133,$C$133,1),$E$133,0)+IF(DATE(2027,2,1)=DATE($D$134,$C$134,1),$E$134,0)+IF(DATE(2027,2,1)=DATE($D$135,$C$135,1),$E$135,0)</f>
      </c>
      <c r="S261" s="41">
        <f>IF(DATE(2027,3,1)=DATE($D$129,$C$129,1),$E$129,0)+IF(DATE(2027,3,1)=DATE($D$130,$C$130,1),$E$130,0)+IF(DATE(2027,3,1)=DATE($D$131,$C$131,1),$E$131,0)+IF(DATE(2027,3,1)=DATE($D$132,$C$132,1),$E$132,0)+IF(DATE(2027,3,1)=DATE($D$133,$C$133,1),$E$133,0)+IF(DATE(2027,3,1)=DATE($D$134,$C$134,1),$E$134,0)+IF(DATE(2027,3,1)=DATE($D$135,$C$135,1),$E$135,0)</f>
      </c>
      <c r="T261" s="41">
        <f>IF(DATE(2027,4,1)=DATE($D$129,$C$129,1),$E$129,0)+IF(DATE(2027,4,1)=DATE($D$130,$C$130,1),$E$130,0)+IF(DATE(2027,4,1)=DATE($D$131,$C$131,1),$E$131,0)+IF(DATE(2027,4,1)=DATE($D$132,$C$132,1),$E$132,0)+IF(DATE(2027,4,1)=DATE($D$133,$C$133,1),$E$133,0)+IF(DATE(2027,4,1)=DATE($D$134,$C$134,1),$E$134,0)+IF(DATE(2027,4,1)=DATE($D$135,$C$135,1),$E$135,0)</f>
      </c>
      <c r="U261" s="41">
        <f>IF(DATE(2027,5,1)=DATE($D$129,$C$129,1),$E$129,0)+IF(DATE(2027,5,1)=DATE($D$130,$C$130,1),$E$130,0)+IF(DATE(2027,5,1)=DATE($D$131,$C$131,1),$E$131,0)+IF(DATE(2027,5,1)=DATE($D$132,$C$132,1),$E$132,0)+IF(DATE(2027,5,1)=DATE($D$133,$C$133,1),$E$133,0)+IF(DATE(2027,5,1)=DATE($D$134,$C$134,1),$E$134,0)+IF(DATE(2027,5,1)=DATE($D$135,$C$135,1),$E$135,0)</f>
      </c>
      <c r="V261" s="41">
        <f>IF(DATE(2027,6,1)=DATE($D$129,$C$129,1),$E$129,0)+IF(DATE(2027,6,1)=DATE($D$130,$C$130,1),$E$130,0)+IF(DATE(2027,6,1)=DATE($D$131,$C$131,1),$E$131,0)+IF(DATE(2027,6,1)=DATE($D$132,$C$132,1),$E$132,0)+IF(DATE(2027,6,1)=DATE($D$133,$C$133,1),$E$133,0)+IF(DATE(2027,6,1)=DATE($D$134,$C$134,1),$E$134,0)+IF(DATE(2027,6,1)=DATE($D$135,$C$135,1),$E$135,0)</f>
      </c>
      <c r="W261" s="41">
        <f>IF(DATE(2027,7,1)=DATE($D$129,$C$129,1),$E$129,0)+IF(DATE(2027,7,1)=DATE($D$130,$C$130,1),$E$130,0)+IF(DATE(2027,7,1)=DATE($D$131,$C$131,1),$E$131,0)+IF(DATE(2027,7,1)=DATE($D$132,$C$132,1),$E$132,0)+IF(DATE(2027,7,1)=DATE($D$133,$C$133,1),$E$133,0)+IF(DATE(2027,7,1)=DATE($D$134,$C$134,1),$E$134,0)+IF(DATE(2027,7,1)=DATE($D$135,$C$135,1),$E$135,0)</f>
      </c>
      <c r="X261" s="41">
        <f>IF(DATE(2027,8,1)=DATE($D$129,$C$129,1),$E$129,0)+IF(DATE(2027,8,1)=DATE($D$130,$C$130,1),$E$130,0)+IF(DATE(2027,8,1)=DATE($D$131,$C$131,1),$E$131,0)+IF(DATE(2027,8,1)=DATE($D$132,$C$132,1),$E$132,0)+IF(DATE(2027,8,1)=DATE($D$133,$C$133,1),$E$133,0)+IF(DATE(2027,8,1)=DATE($D$134,$C$134,1),$E$134,0)+IF(DATE(2027,8,1)=DATE($D$135,$C$135,1),$E$135,0)</f>
      </c>
      <c r="Y261" s="41">
        <f>IF(DATE(2027,9,1)=DATE($D$129,$C$129,1),$E$129,0)+IF(DATE(2027,9,1)=DATE($D$130,$C$130,1),$E$130,0)+IF(DATE(2027,9,1)=DATE($D$131,$C$131,1),$E$131,0)+IF(DATE(2027,9,1)=DATE($D$132,$C$132,1),$E$132,0)+IF(DATE(2027,9,1)=DATE($D$133,$C$133,1),$E$133,0)+IF(DATE(2027,9,1)=DATE($D$134,$C$134,1),$E$134,0)+IF(DATE(2027,9,1)=DATE($D$135,$C$135,1),$E$135,0)</f>
      </c>
      <c r="Z261" s="41">
        <f>IF(DATE(2027,10,1)=DATE($D$129,$C$129,1),$E$129,0)+IF(DATE(2027,10,1)=DATE($D$130,$C$130,1),$E$130,0)+IF(DATE(2027,10,1)=DATE($D$131,$C$131,1),$E$131,0)+IF(DATE(2027,10,1)=DATE($D$132,$C$132,1),$E$132,0)+IF(DATE(2027,10,1)=DATE($D$133,$C$133,1),$E$133,0)+IF(DATE(2027,10,1)=DATE($D$134,$C$134,1),$E$134,0)+IF(DATE(2027,10,1)=DATE($D$135,$C$135,1),$E$135,0)</f>
      </c>
      <c r="AA261" s="41">
        <f>IF(DATE(2027,11,1)=DATE($D$129,$C$129,1),$E$129,0)+IF(DATE(2027,11,1)=DATE($D$130,$C$130,1),$E$130,0)+IF(DATE(2027,11,1)=DATE($D$131,$C$131,1),$E$131,0)+IF(DATE(2027,11,1)=DATE($D$132,$C$132,1),$E$132,0)+IF(DATE(2027,11,1)=DATE($D$133,$C$133,1),$E$133,0)+IF(DATE(2027,11,1)=DATE($D$134,$C$134,1),$E$134,0)+IF(DATE(2027,11,1)=DATE($D$135,$C$135,1),$E$135,0)</f>
      </c>
      <c r="AB261" s="41">
        <f>IF(DATE(2027,12,1)=DATE($D$129,$C$129,1),$E$129,0)+IF(DATE(2027,12,1)=DATE($D$130,$C$130,1),$E$130,0)+IF(DATE(2027,12,1)=DATE($D$131,$C$131,1),$E$131,0)+IF(DATE(2027,12,1)=DATE($D$132,$C$132,1),$E$132,0)+IF(DATE(2027,12,1)=DATE($D$133,$C$133,1),$E$133,0)+IF(DATE(2027,12,1)=DATE($D$134,$C$134,1),$E$134,0)+IF(DATE(2027,12,1)=DATE($D$135,$C$135,1),$E$135,0)</f>
      </c>
      <c r="AC261" s="42">
        <f>SUM(Q261:AB261)</f>
      </c>
      <c r="AD261" s="41">
        <f>IF(DATE(2028,1,1)=DATE($D$129,$C$129,1),$E$129,0)+IF(DATE(2028,1,1)=DATE($D$130,$C$130,1),$E$130,0)+IF(DATE(2028,1,1)=DATE($D$131,$C$131,1),$E$131,0)+IF(DATE(2028,1,1)=DATE($D$132,$C$132,1),$E$132,0)+IF(DATE(2028,1,1)=DATE($D$133,$C$133,1),$E$133,0)+IF(DATE(2028,1,1)=DATE($D$134,$C$134,1),$E$134,0)+IF(DATE(2028,1,1)=DATE($D$135,$C$135,1),$E$135,0)</f>
      </c>
      <c r="AE261" s="41">
        <f>IF(DATE(2028,2,1)=DATE($D$129,$C$129,1),$E$129,0)+IF(DATE(2028,2,1)=DATE($D$130,$C$130,1),$E$130,0)+IF(DATE(2028,2,1)=DATE($D$131,$C$131,1),$E$131,0)+IF(DATE(2028,2,1)=DATE($D$132,$C$132,1),$E$132,0)+IF(DATE(2028,2,1)=DATE($D$133,$C$133,1),$E$133,0)+IF(DATE(2028,2,1)=DATE($D$134,$C$134,1),$E$134,0)+IF(DATE(2028,2,1)=DATE($D$135,$C$135,1),$E$135,0)</f>
      </c>
      <c r="AF261" s="41">
        <f>IF(DATE(2028,3,1)=DATE($D$129,$C$129,1),$E$129,0)+IF(DATE(2028,3,1)=DATE($D$130,$C$130,1),$E$130,0)+IF(DATE(2028,3,1)=DATE($D$131,$C$131,1),$E$131,0)+IF(DATE(2028,3,1)=DATE($D$132,$C$132,1),$E$132,0)+IF(DATE(2028,3,1)=DATE($D$133,$C$133,1),$E$133,0)+IF(DATE(2028,3,1)=DATE($D$134,$C$134,1),$E$134,0)+IF(DATE(2028,3,1)=DATE($D$135,$C$135,1),$E$135,0)</f>
      </c>
      <c r="AG261" s="41">
        <f>IF(DATE(2028,4,1)=DATE($D$129,$C$129,1),$E$129,0)+IF(DATE(2028,4,1)=DATE($D$130,$C$130,1),$E$130,0)+IF(DATE(2028,4,1)=DATE($D$131,$C$131,1),$E$131,0)+IF(DATE(2028,4,1)=DATE($D$132,$C$132,1),$E$132,0)+IF(DATE(2028,4,1)=DATE($D$133,$C$133,1),$E$133,0)+IF(DATE(2028,4,1)=DATE($D$134,$C$134,1),$E$134,0)+IF(DATE(2028,4,1)=DATE($D$135,$C$135,1),$E$135,0)</f>
      </c>
      <c r="AH261" s="41">
        <f>IF(DATE(2028,5,1)=DATE($D$129,$C$129,1),$E$129,0)+IF(DATE(2028,5,1)=DATE($D$130,$C$130,1),$E$130,0)+IF(DATE(2028,5,1)=DATE($D$131,$C$131,1),$E$131,0)+IF(DATE(2028,5,1)=DATE($D$132,$C$132,1),$E$132,0)+IF(DATE(2028,5,1)=DATE($D$133,$C$133,1),$E$133,0)+IF(DATE(2028,5,1)=DATE($D$134,$C$134,1),$E$134,0)+IF(DATE(2028,5,1)=DATE($D$135,$C$135,1),$E$135,0)</f>
      </c>
      <c r="AI261" s="41">
        <f>IF(DATE(2028,6,1)=DATE($D$129,$C$129,1),$E$129,0)+IF(DATE(2028,6,1)=DATE($D$130,$C$130,1),$E$130,0)+IF(DATE(2028,6,1)=DATE($D$131,$C$131,1),$E$131,0)+IF(DATE(2028,6,1)=DATE($D$132,$C$132,1),$E$132,0)+IF(DATE(2028,6,1)=DATE($D$133,$C$133,1),$E$133,0)+IF(DATE(2028,6,1)=DATE($D$134,$C$134,1),$E$134,0)+IF(DATE(2028,6,1)=DATE($D$135,$C$135,1),$E$135,0)</f>
      </c>
      <c r="AJ261" s="41">
        <f>IF(DATE(2028,7,1)=DATE($D$129,$C$129,1),$E$129,0)+IF(DATE(2028,7,1)=DATE($D$130,$C$130,1),$E$130,0)+IF(DATE(2028,7,1)=DATE($D$131,$C$131,1),$E$131,0)+IF(DATE(2028,7,1)=DATE($D$132,$C$132,1),$E$132,0)+IF(DATE(2028,7,1)=DATE($D$133,$C$133,1),$E$133,0)+IF(DATE(2028,7,1)=DATE($D$134,$C$134,1),$E$134,0)+IF(DATE(2028,7,1)=DATE($D$135,$C$135,1),$E$135,0)</f>
      </c>
      <c r="AK261" s="41">
        <f>IF(DATE(2028,8,1)=DATE($D$129,$C$129,1),$E$129,0)+IF(DATE(2028,8,1)=DATE($D$130,$C$130,1),$E$130,0)+IF(DATE(2028,8,1)=DATE($D$131,$C$131,1),$E$131,0)+IF(DATE(2028,8,1)=DATE($D$132,$C$132,1),$E$132,0)+IF(DATE(2028,8,1)=DATE($D$133,$C$133,1),$E$133,0)+IF(DATE(2028,8,1)=DATE($D$134,$C$134,1),$E$134,0)+IF(DATE(2028,8,1)=DATE($D$135,$C$135,1),$E$135,0)</f>
      </c>
      <c r="AL261" s="41">
        <f>IF(DATE(2028,9,1)=DATE($D$129,$C$129,1),$E$129,0)+IF(DATE(2028,9,1)=DATE($D$130,$C$130,1),$E$130,0)+IF(DATE(2028,9,1)=DATE($D$131,$C$131,1),$E$131,0)+IF(DATE(2028,9,1)=DATE($D$132,$C$132,1),$E$132,0)+IF(DATE(2028,9,1)=DATE($D$133,$C$133,1),$E$133,0)+IF(DATE(2028,9,1)=DATE($D$134,$C$134,1),$E$134,0)+IF(DATE(2028,9,1)=DATE($D$135,$C$135,1),$E$135,0)</f>
      </c>
      <c r="AM261" s="41">
        <f>IF(DATE(2028,10,1)=DATE($D$129,$C$129,1),$E$129,0)+IF(DATE(2028,10,1)=DATE($D$130,$C$130,1),$E$130,0)+IF(DATE(2028,10,1)=DATE($D$131,$C$131,1),$E$131,0)+IF(DATE(2028,10,1)=DATE($D$132,$C$132,1),$E$132,0)+IF(DATE(2028,10,1)=DATE($D$133,$C$133,1),$E$133,0)+IF(DATE(2028,10,1)=DATE($D$134,$C$134,1),$E$134,0)+IF(DATE(2028,10,1)=DATE($D$135,$C$135,1),$E$135,0)</f>
      </c>
      <c r="AN261" s="41">
        <f>IF(DATE(2028,11,1)=DATE($D$129,$C$129,1),$E$129,0)+IF(DATE(2028,11,1)=DATE($D$130,$C$130,1),$E$130,0)+IF(DATE(2028,11,1)=DATE($D$131,$C$131,1),$E$131,0)+IF(DATE(2028,11,1)=DATE($D$132,$C$132,1),$E$132,0)+IF(DATE(2028,11,1)=DATE($D$133,$C$133,1),$E$133,0)+IF(DATE(2028,11,1)=DATE($D$134,$C$134,1),$E$134,0)+IF(DATE(2028,11,1)=DATE($D$135,$C$135,1),$E$135,0)</f>
      </c>
      <c r="AO261" s="41">
        <f>IF(DATE(2028,12,1)=DATE($D$129,$C$129,1),$E$129,0)+IF(DATE(2028,12,1)=DATE($D$130,$C$130,1),$E$130,0)+IF(DATE(2028,12,1)=DATE($D$131,$C$131,1),$E$131,0)+IF(DATE(2028,12,1)=DATE($D$132,$C$132,1),$E$132,0)+IF(DATE(2028,12,1)=DATE($D$133,$C$133,1),$E$133,0)+IF(DATE(2028,12,1)=DATE($D$134,$C$134,1),$E$134,0)+IF(DATE(2028,12,1)=DATE($D$135,$C$135,1),$E$135,0)</f>
      </c>
      <c r="AP261" s="42">
        <f>SUM(AD261:AO261)</f>
      </c>
    </row>
    <row r="262" hidden="1" spans="2:42" x14ac:dyDescent="0.25" outlineLevel="1" collapsed="1">
      <c r="B262" s="44" t="s">
        <v>180</v>
      </c>
      <c r="C262" s="45" t="s">
        <v>259</v>
      </c>
      <c r="D262" s="46">
        <f>IF(DATE(2026,1,1)=DATE($D$136,$C$136,1),$E$136,0)+IF(DATE(2026,1,1)=DATE($D$137,$C$137,1),$E$137,0)+IF(DATE(2026,1,1)=DATE($D$138,$C$138,1),$E$138,0)+IF(DATE(2026,1,1)=DATE($D$139,$C$139,1),$E$139,0)</f>
      </c>
      <c r="E262" s="46">
        <f>IF(DATE(2026,2,1)=DATE($D$136,$C$136,1),$E$136,0)+IF(DATE(2026,2,1)=DATE($D$137,$C$137,1),$E$137,0)+IF(DATE(2026,2,1)=DATE($D$138,$C$138,1),$E$138,0)+IF(DATE(2026,2,1)=DATE($D$139,$C$139,1),$E$139,0)</f>
      </c>
      <c r="F262" s="46">
        <f>IF(DATE(2026,3,1)=DATE($D$136,$C$136,1),$E$136,0)+IF(DATE(2026,3,1)=DATE($D$137,$C$137,1),$E$137,0)+IF(DATE(2026,3,1)=DATE($D$138,$C$138,1),$E$138,0)+IF(DATE(2026,3,1)=DATE($D$139,$C$139,1),$E$139,0)</f>
      </c>
      <c r="G262" s="46">
        <f>IF(DATE(2026,4,1)=DATE($D$136,$C$136,1),$E$136,0)+IF(DATE(2026,4,1)=DATE($D$137,$C$137,1),$E$137,0)+IF(DATE(2026,4,1)=DATE($D$138,$C$138,1),$E$138,0)+IF(DATE(2026,4,1)=DATE($D$139,$C$139,1),$E$139,0)</f>
      </c>
      <c r="H262" s="46">
        <f>IF(DATE(2026,5,1)=DATE($D$136,$C$136,1),$E$136,0)+IF(DATE(2026,5,1)=DATE($D$137,$C$137,1),$E$137,0)+IF(DATE(2026,5,1)=DATE($D$138,$C$138,1),$E$138,0)+IF(DATE(2026,5,1)=DATE($D$139,$C$139,1),$E$139,0)</f>
      </c>
      <c r="I262" s="46">
        <f>IF(DATE(2026,6,1)=DATE($D$136,$C$136,1),$E$136,0)+IF(DATE(2026,6,1)=DATE($D$137,$C$137,1),$E$137,0)+IF(DATE(2026,6,1)=DATE($D$138,$C$138,1),$E$138,0)+IF(DATE(2026,6,1)=DATE($D$139,$C$139,1),$E$139,0)</f>
      </c>
      <c r="J262" s="46">
        <f>IF(DATE(2026,7,1)=DATE($D$136,$C$136,1),$E$136,0)+IF(DATE(2026,7,1)=DATE($D$137,$C$137,1),$E$137,0)+IF(DATE(2026,7,1)=DATE($D$138,$C$138,1),$E$138,0)+IF(DATE(2026,7,1)=DATE($D$139,$C$139,1),$E$139,0)</f>
      </c>
      <c r="K262" s="46">
        <f>IF(DATE(2026,8,1)=DATE($D$136,$C$136,1),$E$136,0)+IF(DATE(2026,8,1)=DATE($D$137,$C$137,1),$E$137,0)+IF(DATE(2026,8,1)=DATE($D$138,$C$138,1),$E$138,0)+IF(DATE(2026,8,1)=DATE($D$139,$C$139,1),$E$139,0)</f>
      </c>
      <c r="L262" s="46">
        <f>IF(DATE(2026,9,1)=DATE($D$136,$C$136,1),$E$136,0)+IF(DATE(2026,9,1)=DATE($D$137,$C$137,1),$E$137,0)+IF(DATE(2026,9,1)=DATE($D$138,$C$138,1),$E$138,0)+IF(DATE(2026,9,1)=DATE($D$139,$C$139,1),$E$139,0)</f>
      </c>
      <c r="M262" s="46">
        <f>IF(DATE(2026,10,1)=DATE($D$136,$C$136,1),$E$136,0)+IF(DATE(2026,10,1)=DATE($D$137,$C$137,1),$E$137,0)+IF(DATE(2026,10,1)=DATE($D$138,$C$138,1),$E$138,0)+IF(DATE(2026,10,1)=DATE($D$139,$C$139,1),$E$139,0)</f>
      </c>
      <c r="N262" s="46">
        <f>IF(DATE(2026,11,1)=DATE($D$136,$C$136,1),$E$136,0)+IF(DATE(2026,11,1)=DATE($D$137,$C$137,1),$E$137,0)+IF(DATE(2026,11,1)=DATE($D$138,$C$138,1),$E$138,0)+IF(DATE(2026,11,1)=DATE($D$139,$C$139,1),$E$139,0)</f>
      </c>
      <c r="O262" s="46">
        <f>IF(DATE(2026,12,1)=DATE($D$136,$C$136,1),$E$136,0)+IF(DATE(2026,12,1)=DATE($D$137,$C$137,1),$E$137,0)+IF(DATE(2026,12,1)=DATE($D$138,$C$138,1),$E$138,0)+IF(DATE(2026,12,1)=DATE($D$139,$C$139,1),$E$139,0)</f>
      </c>
      <c r="P262" s="47">
        <f>SUM(D262:O262)</f>
      </c>
      <c r="Q262" s="46">
        <f>IF(DATE(2027,1,1)=DATE($D$136,$C$136,1),$E$136,0)+IF(DATE(2027,1,1)=DATE($D$137,$C$137,1),$E$137,0)+IF(DATE(2027,1,1)=DATE($D$138,$C$138,1),$E$138,0)+IF(DATE(2027,1,1)=DATE($D$139,$C$139,1),$E$139,0)</f>
      </c>
      <c r="R262" s="46">
        <f>IF(DATE(2027,2,1)=DATE($D$136,$C$136,1),$E$136,0)+IF(DATE(2027,2,1)=DATE($D$137,$C$137,1),$E$137,0)+IF(DATE(2027,2,1)=DATE($D$138,$C$138,1),$E$138,0)+IF(DATE(2027,2,1)=DATE($D$139,$C$139,1),$E$139,0)</f>
      </c>
      <c r="S262" s="46">
        <f>IF(DATE(2027,3,1)=DATE($D$136,$C$136,1),$E$136,0)+IF(DATE(2027,3,1)=DATE($D$137,$C$137,1),$E$137,0)+IF(DATE(2027,3,1)=DATE($D$138,$C$138,1),$E$138,0)+IF(DATE(2027,3,1)=DATE($D$139,$C$139,1),$E$139,0)</f>
      </c>
      <c r="T262" s="46">
        <f>IF(DATE(2027,4,1)=DATE($D$136,$C$136,1),$E$136,0)+IF(DATE(2027,4,1)=DATE($D$137,$C$137,1),$E$137,0)+IF(DATE(2027,4,1)=DATE($D$138,$C$138,1),$E$138,0)+IF(DATE(2027,4,1)=DATE($D$139,$C$139,1),$E$139,0)</f>
      </c>
      <c r="U262" s="46">
        <f>IF(DATE(2027,5,1)=DATE($D$136,$C$136,1),$E$136,0)+IF(DATE(2027,5,1)=DATE($D$137,$C$137,1),$E$137,0)+IF(DATE(2027,5,1)=DATE($D$138,$C$138,1),$E$138,0)+IF(DATE(2027,5,1)=DATE($D$139,$C$139,1),$E$139,0)</f>
      </c>
      <c r="V262" s="46">
        <f>IF(DATE(2027,6,1)=DATE($D$136,$C$136,1),$E$136,0)+IF(DATE(2027,6,1)=DATE($D$137,$C$137,1),$E$137,0)+IF(DATE(2027,6,1)=DATE($D$138,$C$138,1),$E$138,0)+IF(DATE(2027,6,1)=DATE($D$139,$C$139,1),$E$139,0)</f>
      </c>
      <c r="W262" s="46">
        <f>IF(DATE(2027,7,1)=DATE($D$136,$C$136,1),$E$136,0)+IF(DATE(2027,7,1)=DATE($D$137,$C$137,1),$E$137,0)+IF(DATE(2027,7,1)=DATE($D$138,$C$138,1),$E$138,0)+IF(DATE(2027,7,1)=DATE($D$139,$C$139,1),$E$139,0)</f>
      </c>
      <c r="X262" s="46">
        <f>IF(DATE(2027,8,1)=DATE($D$136,$C$136,1),$E$136,0)+IF(DATE(2027,8,1)=DATE($D$137,$C$137,1),$E$137,0)+IF(DATE(2027,8,1)=DATE($D$138,$C$138,1),$E$138,0)+IF(DATE(2027,8,1)=DATE($D$139,$C$139,1),$E$139,0)</f>
      </c>
      <c r="Y262" s="46">
        <f>IF(DATE(2027,9,1)=DATE($D$136,$C$136,1),$E$136,0)+IF(DATE(2027,9,1)=DATE($D$137,$C$137,1),$E$137,0)+IF(DATE(2027,9,1)=DATE($D$138,$C$138,1),$E$138,0)+IF(DATE(2027,9,1)=DATE($D$139,$C$139,1),$E$139,0)</f>
      </c>
      <c r="Z262" s="46">
        <f>IF(DATE(2027,10,1)=DATE($D$136,$C$136,1),$E$136,0)+IF(DATE(2027,10,1)=DATE($D$137,$C$137,1),$E$137,0)+IF(DATE(2027,10,1)=DATE($D$138,$C$138,1),$E$138,0)+IF(DATE(2027,10,1)=DATE($D$139,$C$139,1),$E$139,0)</f>
      </c>
      <c r="AA262" s="46">
        <f>IF(DATE(2027,11,1)=DATE($D$136,$C$136,1),$E$136,0)+IF(DATE(2027,11,1)=DATE($D$137,$C$137,1),$E$137,0)+IF(DATE(2027,11,1)=DATE($D$138,$C$138,1),$E$138,0)+IF(DATE(2027,11,1)=DATE($D$139,$C$139,1),$E$139,0)</f>
      </c>
      <c r="AB262" s="46">
        <f>IF(DATE(2027,12,1)=DATE($D$136,$C$136,1),$E$136,0)+IF(DATE(2027,12,1)=DATE($D$137,$C$137,1),$E$137,0)+IF(DATE(2027,12,1)=DATE($D$138,$C$138,1),$E$138,0)+IF(DATE(2027,12,1)=DATE($D$139,$C$139,1),$E$139,0)</f>
      </c>
      <c r="AC262" s="47">
        <f>SUM(Q262:AB262)</f>
      </c>
      <c r="AD262" s="46">
        <f>IF(DATE(2028,1,1)=DATE($D$136,$C$136,1),$E$136,0)+IF(DATE(2028,1,1)=DATE($D$137,$C$137,1),$E$137,0)+IF(DATE(2028,1,1)=DATE($D$138,$C$138,1),$E$138,0)+IF(DATE(2028,1,1)=DATE($D$139,$C$139,1),$E$139,0)</f>
      </c>
      <c r="AE262" s="46">
        <f>IF(DATE(2028,2,1)=DATE($D$136,$C$136,1),$E$136,0)+IF(DATE(2028,2,1)=DATE($D$137,$C$137,1),$E$137,0)+IF(DATE(2028,2,1)=DATE($D$138,$C$138,1),$E$138,0)+IF(DATE(2028,2,1)=DATE($D$139,$C$139,1),$E$139,0)</f>
      </c>
      <c r="AF262" s="46">
        <f>IF(DATE(2028,3,1)=DATE($D$136,$C$136,1),$E$136,0)+IF(DATE(2028,3,1)=DATE($D$137,$C$137,1),$E$137,0)+IF(DATE(2028,3,1)=DATE($D$138,$C$138,1),$E$138,0)+IF(DATE(2028,3,1)=DATE($D$139,$C$139,1),$E$139,0)</f>
      </c>
      <c r="AG262" s="46">
        <f>IF(DATE(2028,4,1)=DATE($D$136,$C$136,1),$E$136,0)+IF(DATE(2028,4,1)=DATE($D$137,$C$137,1),$E$137,0)+IF(DATE(2028,4,1)=DATE($D$138,$C$138,1),$E$138,0)+IF(DATE(2028,4,1)=DATE($D$139,$C$139,1),$E$139,0)</f>
      </c>
      <c r="AH262" s="46">
        <f>IF(DATE(2028,5,1)=DATE($D$136,$C$136,1),$E$136,0)+IF(DATE(2028,5,1)=DATE($D$137,$C$137,1),$E$137,0)+IF(DATE(2028,5,1)=DATE($D$138,$C$138,1),$E$138,0)+IF(DATE(2028,5,1)=DATE($D$139,$C$139,1),$E$139,0)</f>
      </c>
      <c r="AI262" s="46">
        <f>IF(DATE(2028,6,1)=DATE($D$136,$C$136,1),$E$136,0)+IF(DATE(2028,6,1)=DATE($D$137,$C$137,1),$E$137,0)+IF(DATE(2028,6,1)=DATE($D$138,$C$138,1),$E$138,0)+IF(DATE(2028,6,1)=DATE($D$139,$C$139,1),$E$139,0)</f>
      </c>
      <c r="AJ262" s="46">
        <f>IF(DATE(2028,7,1)=DATE($D$136,$C$136,1),$E$136,0)+IF(DATE(2028,7,1)=DATE($D$137,$C$137,1),$E$137,0)+IF(DATE(2028,7,1)=DATE($D$138,$C$138,1),$E$138,0)+IF(DATE(2028,7,1)=DATE($D$139,$C$139,1),$E$139,0)</f>
      </c>
      <c r="AK262" s="46">
        <f>IF(DATE(2028,8,1)=DATE($D$136,$C$136,1),$E$136,0)+IF(DATE(2028,8,1)=DATE($D$137,$C$137,1),$E$137,0)+IF(DATE(2028,8,1)=DATE($D$138,$C$138,1),$E$138,0)+IF(DATE(2028,8,1)=DATE($D$139,$C$139,1),$E$139,0)</f>
      </c>
      <c r="AL262" s="46">
        <f>IF(DATE(2028,9,1)=DATE($D$136,$C$136,1),$E$136,0)+IF(DATE(2028,9,1)=DATE($D$137,$C$137,1),$E$137,0)+IF(DATE(2028,9,1)=DATE($D$138,$C$138,1),$E$138,0)+IF(DATE(2028,9,1)=DATE($D$139,$C$139,1),$E$139,0)</f>
      </c>
      <c r="AM262" s="46">
        <f>IF(DATE(2028,10,1)=DATE($D$136,$C$136,1),$E$136,0)+IF(DATE(2028,10,1)=DATE($D$137,$C$137,1),$E$137,0)+IF(DATE(2028,10,1)=DATE($D$138,$C$138,1),$E$138,0)+IF(DATE(2028,10,1)=DATE($D$139,$C$139,1),$E$139,0)</f>
      </c>
      <c r="AN262" s="46">
        <f>IF(DATE(2028,11,1)=DATE($D$136,$C$136,1),$E$136,0)+IF(DATE(2028,11,1)=DATE($D$137,$C$137,1),$E$137,0)+IF(DATE(2028,11,1)=DATE($D$138,$C$138,1),$E$138,0)+IF(DATE(2028,11,1)=DATE($D$139,$C$139,1),$E$139,0)</f>
      </c>
      <c r="AO262" s="46">
        <f>IF(DATE(2028,12,1)=DATE($D$136,$C$136,1),$E$136,0)+IF(DATE(2028,12,1)=DATE($D$137,$C$137,1),$E$137,0)+IF(DATE(2028,12,1)=DATE($D$138,$C$138,1),$E$138,0)+IF(DATE(2028,12,1)=DATE($D$139,$C$139,1),$E$139,0)</f>
      </c>
      <c r="AP262" s="47">
        <f>SUM(AD262:AO262)</f>
      </c>
    </row>
    <row r="263" hidden="1" spans="2:42" x14ac:dyDescent="0.25" outlineLevel="1" collapsed="1">
      <c r="B263" s="19" t="s">
        <v>286</v>
      </c>
      <c r="D263" s="48">
        <f>SUM(D250:D262)</f>
      </c>
      <c r="E263" s="48">
        <f>SUM(E250:E262)</f>
      </c>
      <c r="F263" s="48">
        <f>SUM(F250:F262)</f>
      </c>
      <c r="G263" s="48">
        <f>SUM(G250:G262)</f>
      </c>
      <c r="H263" s="48">
        <f>SUM(H250:H262)</f>
      </c>
      <c r="I263" s="48">
        <f>SUM(I250:I262)</f>
      </c>
      <c r="J263" s="48">
        <f>SUM(J250:J262)</f>
      </c>
      <c r="K263" s="48">
        <f>SUM(K250:K262)</f>
      </c>
      <c r="L263" s="48">
        <f>SUM(L250:L262)</f>
      </c>
      <c r="M263" s="48">
        <f>SUM(M250:M262)</f>
      </c>
      <c r="N263" s="48">
        <f>SUM(N250:N262)</f>
      </c>
      <c r="O263" s="48">
        <f>SUM(O250:O262)</f>
      </c>
      <c r="P263" s="42">
        <f>SUM(D263:O263)</f>
      </c>
      <c r="Q263" s="48">
        <f>SUM(Q250:Q262)</f>
      </c>
      <c r="R263" s="48">
        <f>SUM(R250:R262)</f>
      </c>
      <c r="S263" s="48">
        <f>SUM(S250:S262)</f>
      </c>
      <c r="T263" s="48">
        <f>SUM(T250:T262)</f>
      </c>
      <c r="U263" s="48">
        <f>SUM(U250:U262)</f>
      </c>
      <c r="V263" s="48">
        <f>SUM(V250:V262)</f>
      </c>
      <c r="W263" s="48">
        <f>SUM(W250:W262)</f>
      </c>
      <c r="X263" s="48">
        <f>SUM(X250:X262)</f>
      </c>
      <c r="Y263" s="48">
        <f>SUM(Y250:Y262)</f>
      </c>
      <c r="Z263" s="48">
        <f>SUM(Z250:Z262)</f>
      </c>
      <c r="AA263" s="48">
        <f>SUM(AA250:AA262)</f>
      </c>
      <c r="AB263" s="48">
        <f>SUM(AB250:AB262)</f>
      </c>
      <c r="AC263" s="42">
        <f>SUM(Q263:AB263)</f>
      </c>
      <c r="AD263" s="48">
        <f>SUM(AD250:AD262)</f>
      </c>
      <c r="AE263" s="48">
        <f>SUM(AE250:AE262)</f>
      </c>
      <c r="AF263" s="48">
        <f>SUM(AF250:AF262)</f>
      </c>
      <c r="AG263" s="48">
        <f>SUM(AG250:AG262)</f>
      </c>
      <c r="AH263" s="48">
        <f>SUM(AH250:AH262)</f>
      </c>
      <c r="AI263" s="48">
        <f>SUM(AI250:AI262)</f>
      </c>
      <c r="AJ263" s="48">
        <f>SUM(AJ250:AJ262)</f>
      </c>
      <c r="AK263" s="48">
        <f>SUM(AK250:AK262)</f>
      </c>
      <c r="AL263" s="48">
        <f>SUM(AL250:AL262)</f>
      </c>
      <c r="AM263" s="48">
        <f>SUM(AM250:AM262)</f>
      </c>
      <c r="AN263" s="48">
        <f>SUM(AN250:AN262)</f>
      </c>
      <c r="AO263" s="48">
        <f>SUM(AO250:AO262)</f>
      </c>
      <c r="AP263" s="42">
        <f>SUM(AD263:AO263)</f>
      </c>
    </row>
    <row r="264" hidden="1" spans="1:1" x14ac:dyDescent="0.25" outlineLevel="1" collapsed="1">
      <c r="A264" s="19" t="s">
        <v>261</v>
      </c>
    </row>
    <row r="265" hidden="1" spans="1:1" x14ac:dyDescent="0.25" outlineLevel="1" collapsed="1">
      <c r="A265" s="19" t="s">
        <v>261</v>
      </c>
    </row>
    <row r="266" ht="20" customHeight="1" hidden="1" spans="2:3" x14ac:dyDescent="0.25" outlineLevel="1" collapsed="1">
      <c r="B266" s="4" t="s">
        <v>287</v>
      </c>
      <c r="C266" s="5"/>
    </row>
    <row r="267" hidden="1" spans="2:3" x14ac:dyDescent="0.25" outlineLevel="1" collapsed="1">
      <c r="B267" s="19" t="s">
        <v>288</v>
      </c>
      <c r="C267" s="41">
        <f>'Bilanz'!F4</f>
      </c>
    </row>
    <row r="268" hidden="1" spans="2:3" x14ac:dyDescent="0.25" outlineLevel="1" collapsed="1">
      <c r="B268" s="19" t="s">
        <v>289</v>
      </c>
      <c r="C268" s="41">
        <f>'Bilanz'!F5</f>
      </c>
    </row>
    <row r="269" hidden="1" spans="2:3" x14ac:dyDescent="0.25" outlineLevel="1" collapsed="1">
      <c r="B269" s="19" t="s">
        <v>290</v>
      </c>
      <c r="C269" s="41">
        <f>'Bilanz'!F6</f>
      </c>
    </row>
    <row r="270" hidden="1" spans="2:3" x14ac:dyDescent="0.25" outlineLevel="1" collapsed="1">
      <c r="B270" s="19" t="s">
        <v>291</v>
      </c>
      <c r="C270" s="41">
        <f>'Bilanz'!F7</f>
      </c>
    </row>
    <row r="271" hidden="1" spans="2:3" x14ac:dyDescent="0.25" outlineLevel="1" collapsed="1">
      <c r="B271" s="19" t="s">
        <v>292</v>
      </c>
      <c r="C271" s="41">
        <f>'Bilanz'!F13</f>
      </c>
    </row>
    <row r="272" hidden="1" spans="2:3" x14ac:dyDescent="0.25" outlineLevel="1" collapsed="1">
      <c r="B272" s="19" t="s">
        <v>293</v>
      </c>
      <c r="C272" s="41">
        <f>'Bilanz'!F14</f>
      </c>
    </row>
    <row r="273" hidden="1" spans="2:3" x14ac:dyDescent="0.25" outlineLevel="1" collapsed="1">
      <c r="B273" s="19" t="s">
        <v>294</v>
      </c>
      <c r="C273" s="41">
        <f>'Bilanz'!F18</f>
      </c>
    </row>
    <row r="274" hidden="1" spans="2:3" x14ac:dyDescent="0.25" outlineLevel="1" collapsed="1">
      <c r="B274" s="19" t="s">
        <v>295</v>
      </c>
      <c r="C274" s="41">
        <f>C267+C268+C269+C270-C271-C272-C273</f>
      </c>
    </row>
    <row r="275" hidden="1" spans="1:1" x14ac:dyDescent="0.25" outlineLevel="1" collapsed="1">
      <c r="A275" s="19" t="s">
        <v>261</v>
      </c>
    </row>
    <row r="276" hidden="1" spans="2:3" x14ac:dyDescent="0.25" outlineLevel="1" collapsed="1">
      <c r="B276" s="50" t="s">
        <v>296</v>
      </c>
      <c r="C276" s="51">
        <v>4686404</v>
      </c>
    </row>
  </sheetData>
  <dataValidations count="19">
    <dataValidation type="list" sqref="C129:C139">
      <formula1>"1,2,3,4,5,6,7,8,9,10,11,12"</formula1>
    </dataValidation>
    <dataValidation type="list" sqref="C30:C36">
      <formula1>"1,2,3,4,5,6,7,8,9,10,11,12"</formula1>
    </dataValidation>
    <dataValidation type="list" sqref="C62:C67">
      <formula1>"Einstellung,Abbau"</formula1>
    </dataValidation>
    <dataValidation type="list" sqref="D129:D139">
      <formula1>"2026,2027,2028"</formula1>
    </dataValidation>
    <dataValidation type="list" sqref="D30:D36">
      <formula1>"2026,2027,2028"</formula1>
    </dataValidation>
    <dataValidation type="list" sqref="D54:D57">
      <formula1>"1,2,3,4,5,6,7,8,9,10,11,12"</formula1>
    </dataValidation>
    <dataValidation type="list" sqref="D93:D99">
      <formula1>"1,2,3,4,5,6,7,8,9,10,11,12"</formula1>
    </dataValidation>
    <dataValidation type="list" sqref="E54:E57">
      <formula1>"2026,2027,2028"</formula1>
    </dataValidation>
    <dataValidation type="list" sqref="E81:E88">
      <formula1>"1,2,3,4,5,6,7,8,9,10,11,12"</formula1>
    </dataValidation>
    <dataValidation type="list" sqref="E93:E99">
      <formula1>"2026,2027,2028,2029,2030,2031,2032"</formula1>
    </dataValidation>
    <dataValidation type="list" showErrorMessage="1" errorStyle="stop" errorTitle="Ungültiger Modus" error="Bitte Annuität, Linear oder Endfällig wählen." sqref="F144:F150">
      <formula1>"Annuität,Linear,Endfällig"</formula1>
    </dataValidation>
    <dataValidation type="list" sqref="F54:F57">
      <formula1>"1,2,3,4,5,6,7,8,9,10,11,12"</formula1>
    </dataValidation>
    <dataValidation type="list" sqref="F62:F67">
      <formula1>"1,2,3,4,5,6,7,8,9,10,11,12"</formula1>
    </dataValidation>
    <dataValidation type="list" sqref="F81:F88">
      <formula1>"2026,2027,2028"</formula1>
    </dataValidation>
    <dataValidation type="list" showErrorMessage="1" errorStyle="stop" errorTitle="Ungültiger Modus" error="Bitte Annuität, Linear oder Endfällig wählen." sqref="G155:G159">
      <formula1>"Annuität,Linear,Endfällig"</formula1>
    </dataValidation>
    <dataValidation type="list" sqref="G54:G57">
      <formula1>"2026,2027,2028"</formula1>
    </dataValidation>
    <dataValidation type="list" sqref="G62:G67">
      <formula1>"2026,2027,2028"</formula1>
    </dataValidation>
    <dataValidation type="list" sqref="H155:H159">
      <formula1>"1,2,3,4,5,6,7,8,9,10,11,12"</formula1>
    </dataValidation>
    <dataValidation type="list" sqref="I155:I159">
      <formula1>"2026,2027,2028"</formula1>
    </dataValidation>
  </dataValidation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B2:AR67"/>
  <sheetViews>
    <sheetView workbookViewId="0" showGridLines="0" zoomScale="10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1" max="1" width="5" customWidth="1"/>
    <col min="2" max="2" width="42" customWidth="1"/>
    <col min="3" max="5" width="16" customWidth="1"/>
    <col min="6" max="17" width="16" hidden="1" outlineLevel="1" collapsed="1" customWidth="1"/>
    <col min="18" max="18" width="16" customWidth="1"/>
    <col min="19" max="30" width="16" hidden="1" outlineLevel="1" collapsed="1" customWidth="1"/>
    <col min="31" max="31" width="16" customWidth="1"/>
    <col min="32" max="43" width="16" hidden="1" outlineLevel="1" collapsed="1" customWidth="1"/>
    <col min="44" max="44" width="16" customWidth="1"/>
  </cols>
  <sheetData>
    <row r="2" ht="28" customHeight="1" spans="2:44" x14ac:dyDescent="0.25">
      <c r="B2" s="15" t="s">
        <v>297</v>
      </c>
      <c r="AR2" s="16" t="s">
        <v>298</v>
      </c>
    </row>
    <row r="3" ht="20" customHeight="1" spans="2:44" x14ac:dyDescent="0.25">
      <c r="B3" s="52" t="s">
        <v>100</v>
      </c>
      <c r="C3" s="53" t="s">
        <v>299</v>
      </c>
      <c r="D3" s="53" t="s">
        <v>300</v>
      </c>
      <c r="E3" s="53" t="s">
        <v>301</v>
      </c>
      <c r="F3" s="54" t="s">
        <v>220</v>
      </c>
      <c r="G3" s="54" t="s">
        <v>221</v>
      </c>
      <c r="H3" s="54" t="s">
        <v>222</v>
      </c>
      <c r="I3" s="54" t="s">
        <v>223</v>
      </c>
      <c r="J3" s="54" t="s">
        <v>224</v>
      </c>
      <c r="K3" s="54" t="s">
        <v>225</v>
      </c>
      <c r="L3" s="54" t="s">
        <v>226</v>
      </c>
      <c r="M3" s="54" t="s">
        <v>227</v>
      </c>
      <c r="N3" s="54" t="s">
        <v>228</v>
      </c>
      <c r="O3" s="54" t="s">
        <v>229</v>
      </c>
      <c r="P3" s="54" t="s">
        <v>230</v>
      </c>
      <c r="Q3" s="54" t="s">
        <v>231</v>
      </c>
      <c r="R3" s="53" t="s">
        <v>302</v>
      </c>
      <c r="S3" s="54" t="s">
        <v>233</v>
      </c>
      <c r="T3" s="54" t="s">
        <v>234</v>
      </c>
      <c r="U3" s="54" t="s">
        <v>235</v>
      </c>
      <c r="V3" s="54" t="s">
        <v>236</v>
      </c>
      <c r="W3" s="54" t="s">
        <v>237</v>
      </c>
      <c r="X3" s="54" t="s">
        <v>238</v>
      </c>
      <c r="Y3" s="54" t="s">
        <v>239</v>
      </c>
      <c r="Z3" s="54" t="s">
        <v>240</v>
      </c>
      <c r="AA3" s="54" t="s">
        <v>241</v>
      </c>
      <c r="AB3" s="54" t="s">
        <v>242</v>
      </c>
      <c r="AC3" s="54" t="s">
        <v>243</v>
      </c>
      <c r="AD3" s="54" t="s">
        <v>244</v>
      </c>
      <c r="AE3" s="53" t="s">
        <v>303</v>
      </c>
      <c r="AF3" s="54" t="s">
        <v>246</v>
      </c>
      <c r="AG3" s="54" t="s">
        <v>247</v>
      </c>
      <c r="AH3" s="54" t="s">
        <v>248</v>
      </c>
      <c r="AI3" s="54" t="s">
        <v>249</v>
      </c>
      <c r="AJ3" s="54" t="s">
        <v>250</v>
      </c>
      <c r="AK3" s="54" t="s">
        <v>251</v>
      </c>
      <c r="AL3" s="54" t="s">
        <v>252</v>
      </c>
      <c r="AM3" s="54" t="s">
        <v>253</v>
      </c>
      <c r="AN3" s="54" t="s">
        <v>254</v>
      </c>
      <c r="AO3" s="54" t="s">
        <v>255</v>
      </c>
      <c r="AP3" s="54" t="s">
        <v>256</v>
      </c>
      <c r="AQ3" s="54" t="s">
        <v>257</v>
      </c>
      <c r="AR3" s="53" t="s">
        <v>304</v>
      </c>
    </row>
    <row r="4" spans="2:44" x14ac:dyDescent="0.25">
      <c r="B4" s="29" t="s">
        <v>218</v>
      </c>
      <c r="C4" s="55">
        <v>2200000</v>
      </c>
      <c r="D4" s="55">
        <v>3050000</v>
      </c>
      <c r="E4" s="55">
        <v>4100000</v>
      </c>
      <c r="F4" s="56">
        <f>SUM(F5:F16)</f>
      </c>
      <c r="G4" s="56">
        <f>SUM(G5:G16)</f>
      </c>
      <c r="H4" s="56">
        <f>SUM(H5:H16)</f>
      </c>
      <c r="I4" s="56">
        <f>SUM(I5:I16)</f>
      </c>
      <c r="J4" s="56">
        <f>SUM(J5:J16)</f>
      </c>
      <c r="K4" s="56">
        <f>SUM(K5:K16)</f>
      </c>
      <c r="L4" s="56">
        <f>SUM(L5:L16)</f>
      </c>
      <c r="M4" s="56">
        <f>SUM(M5:M16)</f>
      </c>
      <c r="N4" s="56">
        <f>SUM(N5:N16)</f>
      </c>
      <c r="O4" s="56">
        <f>SUM(O5:O16)</f>
      </c>
      <c r="P4" s="56">
        <f>SUM(P5:P16)</f>
      </c>
      <c r="Q4" s="56">
        <f>SUM(Q5:Q16)</f>
      </c>
      <c r="R4" s="57">
        <f>SUM(F4:Q4)</f>
      </c>
      <c r="S4" s="56">
        <f>SUM(S5:S16)</f>
      </c>
      <c r="T4" s="56">
        <f>SUM(T5:T16)</f>
      </c>
      <c r="U4" s="56">
        <f>SUM(U5:U16)</f>
      </c>
      <c r="V4" s="56">
        <f>SUM(V5:V16)</f>
      </c>
      <c r="W4" s="56">
        <f>SUM(W5:W16)</f>
      </c>
      <c r="X4" s="56">
        <f>SUM(X5:X16)</f>
      </c>
      <c r="Y4" s="56">
        <f>SUM(Y5:Y16)</f>
      </c>
      <c r="Z4" s="56">
        <f>SUM(Z5:Z16)</f>
      </c>
      <c r="AA4" s="56">
        <f>SUM(AA5:AA16)</f>
      </c>
      <c r="AB4" s="56">
        <f>SUM(AB5:AB16)</f>
      </c>
      <c r="AC4" s="56">
        <f>SUM(AC5:AC16)</f>
      </c>
      <c r="AD4" s="56">
        <f>SUM(AD5:AD16)</f>
      </c>
      <c r="AE4" s="57">
        <f>SUM(S4:AD4)</f>
      </c>
      <c r="AF4" s="56">
        <f>SUM(AF5:AF16)</f>
      </c>
      <c r="AG4" s="56">
        <f>SUM(AG5:AG16)</f>
      </c>
      <c r="AH4" s="56">
        <f>SUM(AH5:AH16)</f>
      </c>
      <c r="AI4" s="56">
        <f>SUM(AI5:AI16)</f>
      </c>
      <c r="AJ4" s="56">
        <f>SUM(AJ5:AJ16)</f>
      </c>
      <c r="AK4" s="56">
        <f>SUM(AK5:AK16)</f>
      </c>
      <c r="AL4" s="56">
        <f>SUM(AL5:AL16)</f>
      </c>
      <c r="AM4" s="56">
        <f>SUM(AM5:AM16)</f>
      </c>
      <c r="AN4" s="56">
        <f>SUM(AN5:AN16)</f>
      </c>
      <c r="AO4" s="56">
        <f>SUM(AO5:AO16)</f>
      </c>
      <c r="AP4" s="56">
        <f>SUM(AP5:AP16)</f>
      </c>
      <c r="AQ4" s="56">
        <f>SUM(AQ5:AQ16)</f>
      </c>
      <c r="AR4" s="57">
        <f>SUM(AF4:AQ4)</f>
      </c>
    </row>
    <row r="5" spans="2:44" x14ac:dyDescent="0.25">
      <c r="B5" s="58" t="s">
        <v>305</v>
      </c>
      <c r="C5" s="59">
        <v>384710</v>
      </c>
      <c r="D5" s="59">
        <v>533349</v>
      </c>
      <c r="E5" s="59">
        <v>716960</v>
      </c>
      <c r="F5" s="60">
        <f>'Annahmen'!D193</f>
      </c>
      <c r="G5" s="60">
        <f>'Annahmen'!E193</f>
      </c>
      <c r="H5" s="60">
        <f>'Annahmen'!F193</f>
      </c>
      <c r="I5" s="60">
        <f>'Annahmen'!G193</f>
      </c>
      <c r="J5" s="60">
        <f>'Annahmen'!H193</f>
      </c>
      <c r="K5" s="60">
        <f>'Annahmen'!I193</f>
      </c>
      <c r="L5" s="60">
        <f>'Annahmen'!J193</f>
      </c>
      <c r="M5" s="60">
        <f>'Annahmen'!K193</f>
      </c>
      <c r="N5" s="60">
        <f>'Annahmen'!L193</f>
      </c>
      <c r="O5" s="60">
        <f>'Annahmen'!M193</f>
      </c>
      <c r="P5" s="60">
        <f>'Annahmen'!N193</f>
      </c>
      <c r="Q5" s="60">
        <f>'Annahmen'!O193</f>
      </c>
      <c r="R5" s="61">
        <f>SUM(F5:Q5)</f>
      </c>
      <c r="S5" s="60">
        <f>'Annahmen'!Q193</f>
      </c>
      <c r="T5" s="60">
        <f>'Annahmen'!R193</f>
      </c>
      <c r="U5" s="60">
        <f>'Annahmen'!S193</f>
      </c>
      <c r="V5" s="60">
        <f>'Annahmen'!T193</f>
      </c>
      <c r="W5" s="60">
        <f>'Annahmen'!U193</f>
      </c>
      <c r="X5" s="60">
        <f>'Annahmen'!V193</f>
      </c>
      <c r="Y5" s="60">
        <f>'Annahmen'!W193</f>
      </c>
      <c r="Z5" s="60">
        <f>'Annahmen'!X193</f>
      </c>
      <c r="AA5" s="60">
        <f>'Annahmen'!Y193</f>
      </c>
      <c r="AB5" s="60">
        <f>'Annahmen'!Z193</f>
      </c>
      <c r="AC5" s="60">
        <f>'Annahmen'!AA193</f>
      </c>
      <c r="AD5" s="60">
        <f>'Annahmen'!AB193</f>
      </c>
      <c r="AE5" s="61">
        <f>SUM(S5:AD5)</f>
      </c>
      <c r="AF5" s="60">
        <f>'Annahmen'!AD193</f>
      </c>
      <c r="AG5" s="60">
        <f>'Annahmen'!AE193</f>
      </c>
      <c r="AH5" s="60">
        <f>'Annahmen'!AF193</f>
      </c>
      <c r="AI5" s="60">
        <f>'Annahmen'!AG193</f>
      </c>
      <c r="AJ5" s="60">
        <f>'Annahmen'!AH193</f>
      </c>
      <c r="AK5" s="60">
        <f>'Annahmen'!AI193</f>
      </c>
      <c r="AL5" s="60">
        <f>'Annahmen'!AJ193</f>
      </c>
      <c r="AM5" s="60">
        <f>'Annahmen'!AK193</f>
      </c>
      <c r="AN5" s="60">
        <f>'Annahmen'!AL193</f>
      </c>
      <c r="AO5" s="60">
        <f>'Annahmen'!AM193</f>
      </c>
      <c r="AP5" s="60">
        <f>'Annahmen'!AN193</f>
      </c>
      <c r="AQ5" s="60">
        <f>'Annahmen'!AO193</f>
      </c>
      <c r="AR5" s="61">
        <f>SUM(AF5:AQ5)</f>
      </c>
    </row>
    <row r="6" spans="2:44" x14ac:dyDescent="0.25">
      <c r="B6" s="58" t="s">
        <v>306</v>
      </c>
      <c r="C6" s="59">
        <v>104453</v>
      </c>
      <c r="D6" s="59">
        <v>144810</v>
      </c>
      <c r="E6" s="59">
        <v>194662</v>
      </c>
      <c r="F6" s="60">
        <f>'Annahmen'!D194</f>
      </c>
      <c r="G6" s="60">
        <f>'Annahmen'!E194</f>
      </c>
      <c r="H6" s="60">
        <f>'Annahmen'!F194</f>
      </c>
      <c r="I6" s="60">
        <f>'Annahmen'!G194</f>
      </c>
      <c r="J6" s="60">
        <f>'Annahmen'!H194</f>
      </c>
      <c r="K6" s="60">
        <f>'Annahmen'!I194</f>
      </c>
      <c r="L6" s="60">
        <f>'Annahmen'!J194</f>
      </c>
      <c r="M6" s="60">
        <f>'Annahmen'!K194</f>
      </c>
      <c r="N6" s="60">
        <f>'Annahmen'!L194</f>
      </c>
      <c r="O6" s="60">
        <f>'Annahmen'!M194</f>
      </c>
      <c r="P6" s="60">
        <f>'Annahmen'!N194</f>
      </c>
      <c r="Q6" s="60">
        <f>'Annahmen'!O194</f>
      </c>
      <c r="R6" s="61">
        <f>SUM(F6:Q6)</f>
      </c>
      <c r="S6" s="60">
        <f>'Annahmen'!Q194</f>
      </c>
      <c r="T6" s="60">
        <f>'Annahmen'!R194</f>
      </c>
      <c r="U6" s="60">
        <f>'Annahmen'!S194</f>
      </c>
      <c r="V6" s="60">
        <f>'Annahmen'!T194</f>
      </c>
      <c r="W6" s="60">
        <f>'Annahmen'!U194</f>
      </c>
      <c r="X6" s="60">
        <f>'Annahmen'!V194</f>
      </c>
      <c r="Y6" s="60">
        <f>'Annahmen'!W194</f>
      </c>
      <c r="Z6" s="60">
        <f>'Annahmen'!X194</f>
      </c>
      <c r="AA6" s="60">
        <f>'Annahmen'!Y194</f>
      </c>
      <c r="AB6" s="60">
        <f>'Annahmen'!Z194</f>
      </c>
      <c r="AC6" s="60">
        <f>'Annahmen'!AA194</f>
      </c>
      <c r="AD6" s="60">
        <f>'Annahmen'!AB194</f>
      </c>
      <c r="AE6" s="61">
        <f>SUM(S6:AD6)</f>
      </c>
      <c r="AF6" s="60">
        <f>'Annahmen'!AD194</f>
      </c>
      <c r="AG6" s="60">
        <f>'Annahmen'!AE194</f>
      </c>
      <c r="AH6" s="60">
        <f>'Annahmen'!AF194</f>
      </c>
      <c r="AI6" s="60">
        <f>'Annahmen'!AG194</f>
      </c>
      <c r="AJ6" s="60">
        <f>'Annahmen'!AH194</f>
      </c>
      <c r="AK6" s="60">
        <f>'Annahmen'!AI194</f>
      </c>
      <c r="AL6" s="60">
        <f>'Annahmen'!AJ194</f>
      </c>
      <c r="AM6" s="60">
        <f>'Annahmen'!AK194</f>
      </c>
      <c r="AN6" s="60">
        <f>'Annahmen'!AL194</f>
      </c>
      <c r="AO6" s="60">
        <f>'Annahmen'!AM194</f>
      </c>
      <c r="AP6" s="60">
        <f>'Annahmen'!AN194</f>
      </c>
      <c r="AQ6" s="60">
        <f>'Annahmen'!AO194</f>
      </c>
      <c r="AR6" s="61">
        <f>SUM(AF6:AQ6)</f>
      </c>
    </row>
    <row r="7" spans="2:44" x14ac:dyDescent="0.25">
      <c r="B7" s="58" t="s">
        <v>307</v>
      </c>
      <c r="C7" s="59">
        <v>285891</v>
      </c>
      <c r="D7" s="59">
        <v>396349</v>
      </c>
      <c r="E7" s="59">
        <v>532797</v>
      </c>
      <c r="F7" s="60">
        <f>'Annahmen'!D195</f>
      </c>
      <c r="G7" s="60">
        <f>'Annahmen'!E195</f>
      </c>
      <c r="H7" s="60">
        <f>'Annahmen'!F195</f>
      </c>
      <c r="I7" s="60">
        <f>'Annahmen'!G195</f>
      </c>
      <c r="J7" s="60">
        <f>'Annahmen'!H195</f>
      </c>
      <c r="K7" s="60">
        <f>'Annahmen'!I195</f>
      </c>
      <c r="L7" s="60">
        <f>'Annahmen'!J195</f>
      </c>
      <c r="M7" s="60">
        <f>'Annahmen'!K195</f>
      </c>
      <c r="N7" s="60">
        <f>'Annahmen'!L195</f>
      </c>
      <c r="O7" s="60">
        <f>'Annahmen'!M195</f>
      </c>
      <c r="P7" s="60">
        <f>'Annahmen'!N195</f>
      </c>
      <c r="Q7" s="60">
        <f>'Annahmen'!O195</f>
      </c>
      <c r="R7" s="61">
        <f>SUM(F7:Q7)</f>
      </c>
      <c r="S7" s="60">
        <f>'Annahmen'!Q195</f>
      </c>
      <c r="T7" s="60">
        <f>'Annahmen'!R195</f>
      </c>
      <c r="U7" s="60">
        <f>'Annahmen'!S195</f>
      </c>
      <c r="V7" s="60">
        <f>'Annahmen'!T195</f>
      </c>
      <c r="W7" s="60">
        <f>'Annahmen'!U195</f>
      </c>
      <c r="X7" s="60">
        <f>'Annahmen'!V195</f>
      </c>
      <c r="Y7" s="60">
        <f>'Annahmen'!W195</f>
      </c>
      <c r="Z7" s="60">
        <f>'Annahmen'!X195</f>
      </c>
      <c r="AA7" s="60">
        <f>'Annahmen'!Y195</f>
      </c>
      <c r="AB7" s="60">
        <f>'Annahmen'!Z195</f>
      </c>
      <c r="AC7" s="60">
        <f>'Annahmen'!AA195</f>
      </c>
      <c r="AD7" s="60">
        <f>'Annahmen'!AB195</f>
      </c>
      <c r="AE7" s="61">
        <f>SUM(S7:AD7)</f>
      </c>
      <c r="AF7" s="60">
        <f>'Annahmen'!AD195</f>
      </c>
      <c r="AG7" s="60">
        <f>'Annahmen'!AE195</f>
      </c>
      <c r="AH7" s="60">
        <f>'Annahmen'!AF195</f>
      </c>
      <c r="AI7" s="60">
        <f>'Annahmen'!AG195</f>
      </c>
      <c r="AJ7" s="60">
        <f>'Annahmen'!AH195</f>
      </c>
      <c r="AK7" s="60">
        <f>'Annahmen'!AI195</f>
      </c>
      <c r="AL7" s="60">
        <f>'Annahmen'!AJ195</f>
      </c>
      <c r="AM7" s="60">
        <f>'Annahmen'!AK195</f>
      </c>
      <c r="AN7" s="60">
        <f>'Annahmen'!AL195</f>
      </c>
      <c r="AO7" s="60">
        <f>'Annahmen'!AM195</f>
      </c>
      <c r="AP7" s="60">
        <f>'Annahmen'!AN195</f>
      </c>
      <c r="AQ7" s="60">
        <f>'Annahmen'!AO195</f>
      </c>
      <c r="AR7" s="61">
        <f>SUM(AF7:AQ7)</f>
      </c>
    </row>
    <row r="8" spans="2:44" x14ac:dyDescent="0.25">
      <c r="B8" s="58" t="s">
        <v>308</v>
      </c>
      <c r="C8" s="59">
        <v>196507</v>
      </c>
      <c r="D8" s="59">
        <v>272430</v>
      </c>
      <c r="E8" s="59">
        <v>366218</v>
      </c>
      <c r="F8" s="60">
        <f>'Annahmen'!D196</f>
      </c>
      <c r="G8" s="60">
        <f>'Annahmen'!E196</f>
      </c>
      <c r="H8" s="60">
        <f>'Annahmen'!F196</f>
      </c>
      <c r="I8" s="60">
        <f>'Annahmen'!G196</f>
      </c>
      <c r="J8" s="60">
        <f>'Annahmen'!H196</f>
      </c>
      <c r="K8" s="60">
        <f>'Annahmen'!I196</f>
      </c>
      <c r="L8" s="60">
        <f>'Annahmen'!J196</f>
      </c>
      <c r="M8" s="60">
        <f>'Annahmen'!K196</f>
      </c>
      <c r="N8" s="60">
        <f>'Annahmen'!L196</f>
      </c>
      <c r="O8" s="60">
        <f>'Annahmen'!M196</f>
      </c>
      <c r="P8" s="60">
        <f>'Annahmen'!N196</f>
      </c>
      <c r="Q8" s="60">
        <f>'Annahmen'!O196</f>
      </c>
      <c r="R8" s="61">
        <f>SUM(F8:Q8)</f>
      </c>
      <c r="S8" s="60">
        <f>'Annahmen'!Q196</f>
      </c>
      <c r="T8" s="60">
        <f>'Annahmen'!R196</f>
      </c>
      <c r="U8" s="60">
        <f>'Annahmen'!S196</f>
      </c>
      <c r="V8" s="60">
        <f>'Annahmen'!T196</f>
      </c>
      <c r="W8" s="60">
        <f>'Annahmen'!U196</f>
      </c>
      <c r="X8" s="60">
        <f>'Annahmen'!V196</f>
      </c>
      <c r="Y8" s="60">
        <f>'Annahmen'!W196</f>
      </c>
      <c r="Z8" s="60">
        <f>'Annahmen'!X196</f>
      </c>
      <c r="AA8" s="60">
        <f>'Annahmen'!Y196</f>
      </c>
      <c r="AB8" s="60">
        <f>'Annahmen'!Z196</f>
      </c>
      <c r="AC8" s="60">
        <f>'Annahmen'!AA196</f>
      </c>
      <c r="AD8" s="60">
        <f>'Annahmen'!AB196</f>
      </c>
      <c r="AE8" s="61">
        <f>SUM(S8:AD8)</f>
      </c>
      <c r="AF8" s="60">
        <f>'Annahmen'!AD196</f>
      </c>
      <c r="AG8" s="60">
        <f>'Annahmen'!AE196</f>
      </c>
      <c r="AH8" s="60">
        <f>'Annahmen'!AF196</f>
      </c>
      <c r="AI8" s="60">
        <f>'Annahmen'!AG196</f>
      </c>
      <c r="AJ8" s="60">
        <f>'Annahmen'!AH196</f>
      </c>
      <c r="AK8" s="60">
        <f>'Annahmen'!AI196</f>
      </c>
      <c r="AL8" s="60">
        <f>'Annahmen'!AJ196</f>
      </c>
      <c r="AM8" s="60">
        <f>'Annahmen'!AK196</f>
      </c>
      <c r="AN8" s="60">
        <f>'Annahmen'!AL196</f>
      </c>
      <c r="AO8" s="60">
        <f>'Annahmen'!AM196</f>
      </c>
      <c r="AP8" s="60">
        <f>'Annahmen'!AN196</f>
      </c>
      <c r="AQ8" s="60">
        <f>'Annahmen'!AO196</f>
      </c>
      <c r="AR8" s="61">
        <f>SUM(AF8:AQ8)</f>
      </c>
    </row>
    <row r="9" spans="2:44" x14ac:dyDescent="0.25">
      <c r="B9" s="58" t="s">
        <v>309</v>
      </c>
      <c r="C9" s="59">
        <v>45067</v>
      </c>
      <c r="D9" s="59">
        <v>62479</v>
      </c>
      <c r="E9" s="59">
        <v>83988</v>
      </c>
      <c r="F9" s="60">
        <f>'Annahmen'!D197</f>
      </c>
      <c r="G9" s="60">
        <f>'Annahmen'!E197</f>
      </c>
      <c r="H9" s="60">
        <f>'Annahmen'!F197</f>
      </c>
      <c r="I9" s="60">
        <f>'Annahmen'!G197</f>
      </c>
      <c r="J9" s="60">
        <f>'Annahmen'!H197</f>
      </c>
      <c r="K9" s="60">
        <f>'Annahmen'!I197</f>
      </c>
      <c r="L9" s="60">
        <f>'Annahmen'!J197</f>
      </c>
      <c r="M9" s="60">
        <f>'Annahmen'!K197</f>
      </c>
      <c r="N9" s="60">
        <f>'Annahmen'!L197</f>
      </c>
      <c r="O9" s="60">
        <f>'Annahmen'!M197</f>
      </c>
      <c r="P9" s="60">
        <f>'Annahmen'!N197</f>
      </c>
      <c r="Q9" s="60">
        <f>'Annahmen'!O197</f>
      </c>
      <c r="R9" s="61">
        <f>SUM(F9:Q9)</f>
      </c>
      <c r="S9" s="60">
        <f>'Annahmen'!Q197</f>
      </c>
      <c r="T9" s="60">
        <f>'Annahmen'!R197</f>
      </c>
      <c r="U9" s="60">
        <f>'Annahmen'!S197</f>
      </c>
      <c r="V9" s="60">
        <f>'Annahmen'!T197</f>
      </c>
      <c r="W9" s="60">
        <f>'Annahmen'!U197</f>
      </c>
      <c r="X9" s="60">
        <f>'Annahmen'!V197</f>
      </c>
      <c r="Y9" s="60">
        <f>'Annahmen'!W197</f>
      </c>
      <c r="Z9" s="60">
        <f>'Annahmen'!X197</f>
      </c>
      <c r="AA9" s="60">
        <f>'Annahmen'!Y197</f>
      </c>
      <c r="AB9" s="60">
        <f>'Annahmen'!Z197</f>
      </c>
      <c r="AC9" s="60">
        <f>'Annahmen'!AA197</f>
      </c>
      <c r="AD9" s="60">
        <f>'Annahmen'!AB197</f>
      </c>
      <c r="AE9" s="61">
        <f>SUM(S9:AD9)</f>
      </c>
      <c r="AF9" s="60">
        <f>'Annahmen'!AD197</f>
      </c>
      <c r="AG9" s="60">
        <f>'Annahmen'!AE197</f>
      </c>
      <c r="AH9" s="60">
        <f>'Annahmen'!AF197</f>
      </c>
      <c r="AI9" s="60">
        <f>'Annahmen'!AG197</f>
      </c>
      <c r="AJ9" s="60">
        <f>'Annahmen'!AH197</f>
      </c>
      <c r="AK9" s="60">
        <f>'Annahmen'!AI197</f>
      </c>
      <c r="AL9" s="60">
        <f>'Annahmen'!AJ197</f>
      </c>
      <c r="AM9" s="60">
        <f>'Annahmen'!AK197</f>
      </c>
      <c r="AN9" s="60">
        <f>'Annahmen'!AL197</f>
      </c>
      <c r="AO9" s="60">
        <f>'Annahmen'!AM197</f>
      </c>
      <c r="AP9" s="60">
        <f>'Annahmen'!AN197</f>
      </c>
      <c r="AQ9" s="60">
        <f>'Annahmen'!AO197</f>
      </c>
      <c r="AR9" s="61">
        <f>SUM(AF9:AQ9)</f>
      </c>
    </row>
    <row r="10" spans="2:44" x14ac:dyDescent="0.25">
      <c r="B10" s="58" t="s">
        <v>310</v>
      </c>
      <c r="C10" s="59">
        <v>236599</v>
      </c>
      <c r="D10" s="59">
        <v>328013</v>
      </c>
      <c r="E10" s="59">
        <v>440935</v>
      </c>
      <c r="F10" s="60">
        <f>'Annahmen'!D198</f>
      </c>
      <c r="G10" s="60">
        <f>'Annahmen'!E198</f>
      </c>
      <c r="H10" s="60">
        <f>'Annahmen'!F198</f>
      </c>
      <c r="I10" s="60">
        <f>'Annahmen'!G198</f>
      </c>
      <c r="J10" s="60">
        <f>'Annahmen'!H198</f>
      </c>
      <c r="K10" s="60">
        <f>'Annahmen'!I198</f>
      </c>
      <c r="L10" s="60">
        <f>'Annahmen'!J198</f>
      </c>
      <c r="M10" s="60">
        <f>'Annahmen'!K198</f>
      </c>
      <c r="N10" s="60">
        <f>'Annahmen'!L198</f>
      </c>
      <c r="O10" s="60">
        <f>'Annahmen'!M198</f>
      </c>
      <c r="P10" s="60">
        <f>'Annahmen'!N198</f>
      </c>
      <c r="Q10" s="60">
        <f>'Annahmen'!O198</f>
      </c>
      <c r="R10" s="61">
        <f>SUM(F10:Q10)</f>
      </c>
      <c r="S10" s="60">
        <f>'Annahmen'!Q198</f>
      </c>
      <c r="T10" s="60">
        <f>'Annahmen'!R198</f>
      </c>
      <c r="U10" s="60">
        <f>'Annahmen'!S198</f>
      </c>
      <c r="V10" s="60">
        <f>'Annahmen'!T198</f>
      </c>
      <c r="W10" s="60">
        <f>'Annahmen'!U198</f>
      </c>
      <c r="X10" s="60">
        <f>'Annahmen'!V198</f>
      </c>
      <c r="Y10" s="60">
        <f>'Annahmen'!W198</f>
      </c>
      <c r="Z10" s="60">
        <f>'Annahmen'!X198</f>
      </c>
      <c r="AA10" s="60">
        <f>'Annahmen'!Y198</f>
      </c>
      <c r="AB10" s="60">
        <f>'Annahmen'!Z198</f>
      </c>
      <c r="AC10" s="60">
        <f>'Annahmen'!AA198</f>
      </c>
      <c r="AD10" s="60">
        <f>'Annahmen'!AB198</f>
      </c>
      <c r="AE10" s="61">
        <f>SUM(S10:AD10)</f>
      </c>
      <c r="AF10" s="60">
        <f>'Annahmen'!AD198</f>
      </c>
      <c r="AG10" s="60">
        <f>'Annahmen'!AE198</f>
      </c>
      <c r="AH10" s="60">
        <f>'Annahmen'!AF198</f>
      </c>
      <c r="AI10" s="60">
        <f>'Annahmen'!AG198</f>
      </c>
      <c r="AJ10" s="60">
        <f>'Annahmen'!AH198</f>
      </c>
      <c r="AK10" s="60">
        <f>'Annahmen'!AI198</f>
      </c>
      <c r="AL10" s="60">
        <f>'Annahmen'!AJ198</f>
      </c>
      <c r="AM10" s="60">
        <f>'Annahmen'!AK198</f>
      </c>
      <c r="AN10" s="60">
        <f>'Annahmen'!AL198</f>
      </c>
      <c r="AO10" s="60">
        <f>'Annahmen'!AM198</f>
      </c>
      <c r="AP10" s="60">
        <f>'Annahmen'!AN198</f>
      </c>
      <c r="AQ10" s="60">
        <f>'Annahmen'!AO198</f>
      </c>
      <c r="AR10" s="61">
        <f>SUM(AF10:AQ10)</f>
      </c>
    </row>
    <row r="11" spans="2:44" x14ac:dyDescent="0.25">
      <c r="B11" s="58" t="s">
        <v>311</v>
      </c>
      <c r="C11" s="59">
        <v>312649</v>
      </c>
      <c r="D11" s="59">
        <v>433445</v>
      </c>
      <c r="E11" s="59">
        <v>582664</v>
      </c>
      <c r="F11" s="60">
        <f>'Annahmen'!D199</f>
      </c>
      <c r="G11" s="60">
        <f>'Annahmen'!E199</f>
      </c>
      <c r="H11" s="60">
        <f>'Annahmen'!F199</f>
      </c>
      <c r="I11" s="60">
        <f>'Annahmen'!G199</f>
      </c>
      <c r="J11" s="60">
        <f>'Annahmen'!H199</f>
      </c>
      <c r="K11" s="60">
        <f>'Annahmen'!I199</f>
      </c>
      <c r="L11" s="60">
        <f>'Annahmen'!J199</f>
      </c>
      <c r="M11" s="60">
        <f>'Annahmen'!K199</f>
      </c>
      <c r="N11" s="60">
        <f>'Annahmen'!L199</f>
      </c>
      <c r="O11" s="60">
        <f>'Annahmen'!M199</f>
      </c>
      <c r="P11" s="60">
        <f>'Annahmen'!N199</f>
      </c>
      <c r="Q11" s="60">
        <f>'Annahmen'!O199</f>
      </c>
      <c r="R11" s="61">
        <f>SUM(F11:Q11)</f>
      </c>
      <c r="S11" s="60">
        <f>'Annahmen'!Q199</f>
      </c>
      <c r="T11" s="60">
        <f>'Annahmen'!R199</f>
      </c>
      <c r="U11" s="60">
        <f>'Annahmen'!S199</f>
      </c>
      <c r="V11" s="60">
        <f>'Annahmen'!T199</f>
      </c>
      <c r="W11" s="60">
        <f>'Annahmen'!U199</f>
      </c>
      <c r="X11" s="60">
        <f>'Annahmen'!V199</f>
      </c>
      <c r="Y11" s="60">
        <f>'Annahmen'!W199</f>
      </c>
      <c r="Z11" s="60">
        <f>'Annahmen'!X199</f>
      </c>
      <c r="AA11" s="60">
        <f>'Annahmen'!Y199</f>
      </c>
      <c r="AB11" s="60">
        <f>'Annahmen'!Z199</f>
      </c>
      <c r="AC11" s="60">
        <f>'Annahmen'!AA199</f>
      </c>
      <c r="AD11" s="60">
        <f>'Annahmen'!AB199</f>
      </c>
      <c r="AE11" s="61">
        <f>SUM(S11:AD11)</f>
      </c>
      <c r="AF11" s="60">
        <f>'Annahmen'!AD199</f>
      </c>
      <c r="AG11" s="60">
        <f>'Annahmen'!AE199</f>
      </c>
      <c r="AH11" s="60">
        <f>'Annahmen'!AF199</f>
      </c>
      <c r="AI11" s="60">
        <f>'Annahmen'!AG199</f>
      </c>
      <c r="AJ11" s="60">
        <f>'Annahmen'!AH199</f>
      </c>
      <c r="AK11" s="60">
        <f>'Annahmen'!AI199</f>
      </c>
      <c r="AL11" s="60">
        <f>'Annahmen'!AJ199</f>
      </c>
      <c r="AM11" s="60">
        <f>'Annahmen'!AK199</f>
      </c>
      <c r="AN11" s="60">
        <f>'Annahmen'!AL199</f>
      </c>
      <c r="AO11" s="60">
        <f>'Annahmen'!AM199</f>
      </c>
      <c r="AP11" s="60">
        <f>'Annahmen'!AN199</f>
      </c>
      <c r="AQ11" s="60">
        <f>'Annahmen'!AO199</f>
      </c>
      <c r="AR11" s="61">
        <f>SUM(AF11:AQ11)</f>
      </c>
    </row>
    <row r="12" spans="2:44" x14ac:dyDescent="0.25">
      <c r="B12" s="58" t="s">
        <v>312</v>
      </c>
      <c r="C12" s="59">
        <v>70416</v>
      </c>
      <c r="D12" s="59">
        <v>97623</v>
      </c>
      <c r="E12" s="59">
        <v>131231</v>
      </c>
      <c r="F12" s="60">
        <f>'Annahmen'!D200</f>
      </c>
      <c r="G12" s="60">
        <f>'Annahmen'!E200</f>
      </c>
      <c r="H12" s="60">
        <f>'Annahmen'!F200</f>
      </c>
      <c r="I12" s="60">
        <f>'Annahmen'!G200</f>
      </c>
      <c r="J12" s="60">
        <f>'Annahmen'!H200</f>
      </c>
      <c r="K12" s="60">
        <f>'Annahmen'!I200</f>
      </c>
      <c r="L12" s="60">
        <f>'Annahmen'!J200</f>
      </c>
      <c r="M12" s="60">
        <f>'Annahmen'!K200</f>
      </c>
      <c r="N12" s="60">
        <f>'Annahmen'!L200</f>
      </c>
      <c r="O12" s="60">
        <f>'Annahmen'!M200</f>
      </c>
      <c r="P12" s="60">
        <f>'Annahmen'!N200</f>
      </c>
      <c r="Q12" s="60">
        <f>'Annahmen'!O200</f>
      </c>
      <c r="R12" s="61">
        <f>SUM(F12:Q12)</f>
      </c>
      <c r="S12" s="60">
        <f>'Annahmen'!Q200</f>
      </c>
      <c r="T12" s="60">
        <f>'Annahmen'!R200</f>
      </c>
      <c r="U12" s="60">
        <f>'Annahmen'!S200</f>
      </c>
      <c r="V12" s="60">
        <f>'Annahmen'!T200</f>
      </c>
      <c r="W12" s="60">
        <f>'Annahmen'!U200</f>
      </c>
      <c r="X12" s="60">
        <f>'Annahmen'!V200</f>
      </c>
      <c r="Y12" s="60">
        <f>'Annahmen'!W200</f>
      </c>
      <c r="Z12" s="60">
        <f>'Annahmen'!X200</f>
      </c>
      <c r="AA12" s="60">
        <f>'Annahmen'!Y200</f>
      </c>
      <c r="AB12" s="60">
        <f>'Annahmen'!Z200</f>
      </c>
      <c r="AC12" s="60">
        <f>'Annahmen'!AA200</f>
      </c>
      <c r="AD12" s="60">
        <f>'Annahmen'!AB200</f>
      </c>
      <c r="AE12" s="61">
        <f>SUM(S12:AD12)</f>
      </c>
      <c r="AF12" s="60">
        <f>'Annahmen'!AD200</f>
      </c>
      <c r="AG12" s="60">
        <f>'Annahmen'!AE200</f>
      </c>
      <c r="AH12" s="60">
        <f>'Annahmen'!AF200</f>
      </c>
      <c r="AI12" s="60">
        <f>'Annahmen'!AG200</f>
      </c>
      <c r="AJ12" s="60">
        <f>'Annahmen'!AH200</f>
      </c>
      <c r="AK12" s="60">
        <f>'Annahmen'!AI200</f>
      </c>
      <c r="AL12" s="60">
        <f>'Annahmen'!AJ200</f>
      </c>
      <c r="AM12" s="60">
        <f>'Annahmen'!AK200</f>
      </c>
      <c r="AN12" s="60">
        <f>'Annahmen'!AL200</f>
      </c>
      <c r="AO12" s="60">
        <f>'Annahmen'!AM200</f>
      </c>
      <c r="AP12" s="60">
        <f>'Annahmen'!AN200</f>
      </c>
      <c r="AQ12" s="60">
        <f>'Annahmen'!AO200</f>
      </c>
      <c r="AR12" s="61">
        <f>SUM(AF12:AQ12)</f>
      </c>
    </row>
    <row r="13" spans="2:44" x14ac:dyDescent="0.25">
      <c r="B13" s="58" t="s">
        <v>313</v>
      </c>
      <c r="C13" s="59">
        <v>0</v>
      </c>
      <c r="D13" s="59">
        <v>0</v>
      </c>
      <c r="E13" s="59">
        <v>0</v>
      </c>
      <c r="F13" s="60">
        <f>'Annahmen'!D201</f>
      </c>
      <c r="G13" s="60">
        <f>'Annahmen'!E201</f>
      </c>
      <c r="H13" s="60">
        <f>'Annahmen'!F201</f>
      </c>
      <c r="I13" s="60">
        <f>'Annahmen'!G201</f>
      </c>
      <c r="J13" s="60">
        <f>'Annahmen'!H201</f>
      </c>
      <c r="K13" s="60">
        <f>'Annahmen'!I201</f>
      </c>
      <c r="L13" s="60">
        <f>'Annahmen'!J201</f>
      </c>
      <c r="M13" s="60">
        <f>'Annahmen'!K201</f>
      </c>
      <c r="N13" s="60">
        <f>'Annahmen'!L201</f>
      </c>
      <c r="O13" s="60">
        <f>'Annahmen'!M201</f>
      </c>
      <c r="P13" s="60">
        <f>'Annahmen'!N201</f>
      </c>
      <c r="Q13" s="60">
        <f>'Annahmen'!O201</f>
      </c>
      <c r="R13" s="61">
        <f>SUM(F13:Q13)</f>
      </c>
      <c r="S13" s="60">
        <f>'Annahmen'!Q201</f>
      </c>
      <c r="T13" s="60">
        <f>'Annahmen'!R201</f>
      </c>
      <c r="U13" s="60">
        <f>'Annahmen'!S201</f>
      </c>
      <c r="V13" s="60">
        <f>'Annahmen'!T201</f>
      </c>
      <c r="W13" s="60">
        <f>'Annahmen'!U201</f>
      </c>
      <c r="X13" s="60">
        <f>'Annahmen'!V201</f>
      </c>
      <c r="Y13" s="60">
        <f>'Annahmen'!W201</f>
      </c>
      <c r="Z13" s="60">
        <f>'Annahmen'!X201</f>
      </c>
      <c r="AA13" s="60">
        <f>'Annahmen'!Y201</f>
      </c>
      <c r="AB13" s="60">
        <f>'Annahmen'!Z201</f>
      </c>
      <c r="AC13" s="60">
        <f>'Annahmen'!AA201</f>
      </c>
      <c r="AD13" s="60">
        <f>'Annahmen'!AB201</f>
      </c>
      <c r="AE13" s="61">
        <f>SUM(S13:AD13)</f>
      </c>
      <c r="AF13" s="60">
        <f>'Annahmen'!AD201</f>
      </c>
      <c r="AG13" s="60">
        <f>'Annahmen'!AE201</f>
      </c>
      <c r="AH13" s="60">
        <f>'Annahmen'!AF201</f>
      </c>
      <c r="AI13" s="60">
        <f>'Annahmen'!AG201</f>
      </c>
      <c r="AJ13" s="60">
        <f>'Annahmen'!AH201</f>
      </c>
      <c r="AK13" s="60">
        <f>'Annahmen'!AI201</f>
      </c>
      <c r="AL13" s="60">
        <f>'Annahmen'!AJ201</f>
      </c>
      <c r="AM13" s="60">
        <f>'Annahmen'!AK201</f>
      </c>
      <c r="AN13" s="60">
        <f>'Annahmen'!AL201</f>
      </c>
      <c r="AO13" s="60">
        <f>'Annahmen'!AM201</f>
      </c>
      <c r="AP13" s="60">
        <f>'Annahmen'!AN201</f>
      </c>
      <c r="AQ13" s="60">
        <f>'Annahmen'!AO201</f>
      </c>
      <c r="AR13" s="61">
        <f>SUM(AF13:AQ13)</f>
      </c>
    </row>
    <row r="14" spans="2:44" x14ac:dyDescent="0.25">
      <c r="B14" s="58" t="s">
        <v>314</v>
      </c>
      <c r="C14" s="59">
        <v>249744</v>
      </c>
      <c r="D14" s="59">
        <v>346236</v>
      </c>
      <c r="E14" s="59">
        <v>465431</v>
      </c>
      <c r="F14" s="60">
        <f>'Annahmen'!D202</f>
      </c>
      <c r="G14" s="60">
        <f>'Annahmen'!E202</f>
      </c>
      <c r="H14" s="60">
        <f>'Annahmen'!F202</f>
      </c>
      <c r="I14" s="60">
        <f>'Annahmen'!G202</f>
      </c>
      <c r="J14" s="60">
        <f>'Annahmen'!H202</f>
      </c>
      <c r="K14" s="60">
        <f>'Annahmen'!I202</f>
      </c>
      <c r="L14" s="60">
        <f>'Annahmen'!J202</f>
      </c>
      <c r="M14" s="60">
        <f>'Annahmen'!K202</f>
      </c>
      <c r="N14" s="60">
        <f>'Annahmen'!L202</f>
      </c>
      <c r="O14" s="60">
        <f>'Annahmen'!M202</f>
      </c>
      <c r="P14" s="60">
        <f>'Annahmen'!N202</f>
      </c>
      <c r="Q14" s="60">
        <f>'Annahmen'!O202</f>
      </c>
      <c r="R14" s="61">
        <f>SUM(F14:Q14)</f>
      </c>
      <c r="S14" s="60">
        <f>'Annahmen'!Q202</f>
      </c>
      <c r="T14" s="60">
        <f>'Annahmen'!R202</f>
      </c>
      <c r="U14" s="60">
        <f>'Annahmen'!S202</f>
      </c>
      <c r="V14" s="60">
        <f>'Annahmen'!T202</f>
      </c>
      <c r="W14" s="60">
        <f>'Annahmen'!U202</f>
      </c>
      <c r="X14" s="60">
        <f>'Annahmen'!V202</f>
      </c>
      <c r="Y14" s="60">
        <f>'Annahmen'!W202</f>
      </c>
      <c r="Z14" s="60">
        <f>'Annahmen'!X202</f>
      </c>
      <c r="AA14" s="60">
        <f>'Annahmen'!Y202</f>
      </c>
      <c r="AB14" s="60">
        <f>'Annahmen'!Z202</f>
      </c>
      <c r="AC14" s="60">
        <f>'Annahmen'!AA202</f>
      </c>
      <c r="AD14" s="60">
        <f>'Annahmen'!AB202</f>
      </c>
      <c r="AE14" s="61">
        <f>SUM(S14:AD14)</f>
      </c>
      <c r="AF14" s="60">
        <f>'Annahmen'!AD202</f>
      </c>
      <c r="AG14" s="60">
        <f>'Annahmen'!AE202</f>
      </c>
      <c r="AH14" s="60">
        <f>'Annahmen'!AF202</f>
      </c>
      <c r="AI14" s="60">
        <f>'Annahmen'!AG202</f>
      </c>
      <c r="AJ14" s="60">
        <f>'Annahmen'!AH202</f>
      </c>
      <c r="AK14" s="60">
        <f>'Annahmen'!AI202</f>
      </c>
      <c r="AL14" s="60">
        <f>'Annahmen'!AJ202</f>
      </c>
      <c r="AM14" s="60">
        <f>'Annahmen'!AK202</f>
      </c>
      <c r="AN14" s="60">
        <f>'Annahmen'!AL202</f>
      </c>
      <c r="AO14" s="60">
        <f>'Annahmen'!AM202</f>
      </c>
      <c r="AP14" s="60">
        <f>'Annahmen'!AN202</f>
      </c>
      <c r="AQ14" s="60">
        <f>'Annahmen'!AO202</f>
      </c>
      <c r="AR14" s="61">
        <f>SUM(AF14:AQ14)</f>
      </c>
    </row>
    <row r="15" spans="2:44" x14ac:dyDescent="0.25">
      <c r="B15" s="58" t="s">
        <v>315</v>
      </c>
      <c r="C15" s="59">
        <v>231905</v>
      </c>
      <c r="D15" s="59">
        <v>321505</v>
      </c>
      <c r="E15" s="59">
        <v>432186</v>
      </c>
      <c r="F15" s="60">
        <f>'Annahmen'!D203</f>
      </c>
      <c r="G15" s="60">
        <f>'Annahmen'!E203</f>
      </c>
      <c r="H15" s="60">
        <f>'Annahmen'!F203</f>
      </c>
      <c r="I15" s="60">
        <f>'Annahmen'!G203</f>
      </c>
      <c r="J15" s="60">
        <f>'Annahmen'!H203</f>
      </c>
      <c r="K15" s="60">
        <f>'Annahmen'!I203</f>
      </c>
      <c r="L15" s="60">
        <f>'Annahmen'!J203</f>
      </c>
      <c r="M15" s="60">
        <f>'Annahmen'!K203</f>
      </c>
      <c r="N15" s="60">
        <f>'Annahmen'!L203</f>
      </c>
      <c r="O15" s="60">
        <f>'Annahmen'!M203</f>
      </c>
      <c r="P15" s="60">
        <f>'Annahmen'!N203</f>
      </c>
      <c r="Q15" s="60">
        <f>'Annahmen'!O203</f>
      </c>
      <c r="R15" s="61">
        <f>SUM(F15:Q15)</f>
      </c>
      <c r="S15" s="60">
        <f>'Annahmen'!Q203</f>
      </c>
      <c r="T15" s="60">
        <f>'Annahmen'!R203</f>
      </c>
      <c r="U15" s="60">
        <f>'Annahmen'!S203</f>
      </c>
      <c r="V15" s="60">
        <f>'Annahmen'!T203</f>
      </c>
      <c r="W15" s="60">
        <f>'Annahmen'!U203</f>
      </c>
      <c r="X15" s="60">
        <f>'Annahmen'!V203</f>
      </c>
      <c r="Y15" s="60">
        <f>'Annahmen'!W203</f>
      </c>
      <c r="Z15" s="60">
        <f>'Annahmen'!X203</f>
      </c>
      <c r="AA15" s="60">
        <f>'Annahmen'!Y203</f>
      </c>
      <c r="AB15" s="60">
        <f>'Annahmen'!Z203</f>
      </c>
      <c r="AC15" s="60">
        <f>'Annahmen'!AA203</f>
      </c>
      <c r="AD15" s="60">
        <f>'Annahmen'!AB203</f>
      </c>
      <c r="AE15" s="61">
        <f>SUM(S15:AD15)</f>
      </c>
      <c r="AF15" s="60">
        <f>'Annahmen'!AD203</f>
      </c>
      <c r="AG15" s="60">
        <f>'Annahmen'!AE203</f>
      </c>
      <c r="AH15" s="60">
        <f>'Annahmen'!AF203</f>
      </c>
      <c r="AI15" s="60">
        <f>'Annahmen'!AG203</f>
      </c>
      <c r="AJ15" s="60">
        <f>'Annahmen'!AH203</f>
      </c>
      <c r="AK15" s="60">
        <f>'Annahmen'!AI203</f>
      </c>
      <c r="AL15" s="60">
        <f>'Annahmen'!AJ203</f>
      </c>
      <c r="AM15" s="60">
        <f>'Annahmen'!AK203</f>
      </c>
      <c r="AN15" s="60">
        <f>'Annahmen'!AL203</f>
      </c>
      <c r="AO15" s="60">
        <f>'Annahmen'!AM203</f>
      </c>
      <c r="AP15" s="60">
        <f>'Annahmen'!AN203</f>
      </c>
      <c r="AQ15" s="60">
        <f>'Annahmen'!AO203</f>
      </c>
      <c r="AR15" s="61">
        <f>SUM(AF15:AQ15)</f>
      </c>
    </row>
    <row r="16" spans="2:44" x14ac:dyDescent="0.25">
      <c r="B16" s="58" t="s">
        <v>316</v>
      </c>
      <c r="C16" s="59">
        <v>82059</v>
      </c>
      <c r="D16" s="59">
        <v>113763</v>
      </c>
      <c r="E16" s="59">
        <v>152927</v>
      </c>
      <c r="F16" s="60">
        <f>'Annahmen'!D204</f>
      </c>
      <c r="G16" s="60">
        <f>'Annahmen'!E204</f>
      </c>
      <c r="H16" s="60">
        <f>'Annahmen'!F204</f>
      </c>
      <c r="I16" s="60">
        <f>'Annahmen'!G204</f>
      </c>
      <c r="J16" s="60">
        <f>'Annahmen'!H204</f>
      </c>
      <c r="K16" s="60">
        <f>'Annahmen'!I204</f>
      </c>
      <c r="L16" s="60">
        <f>'Annahmen'!J204</f>
      </c>
      <c r="M16" s="60">
        <f>'Annahmen'!K204</f>
      </c>
      <c r="N16" s="60">
        <f>'Annahmen'!L204</f>
      </c>
      <c r="O16" s="60">
        <f>'Annahmen'!M204</f>
      </c>
      <c r="P16" s="60">
        <f>'Annahmen'!N204</f>
      </c>
      <c r="Q16" s="60">
        <f>'Annahmen'!O204</f>
      </c>
      <c r="R16" s="61">
        <f>SUM(F16:Q16)</f>
      </c>
      <c r="S16" s="60">
        <f>'Annahmen'!Q204</f>
      </c>
      <c r="T16" s="60">
        <f>'Annahmen'!R204</f>
      </c>
      <c r="U16" s="60">
        <f>'Annahmen'!S204</f>
      </c>
      <c r="V16" s="60">
        <f>'Annahmen'!T204</f>
      </c>
      <c r="W16" s="60">
        <f>'Annahmen'!U204</f>
      </c>
      <c r="X16" s="60">
        <f>'Annahmen'!V204</f>
      </c>
      <c r="Y16" s="60">
        <f>'Annahmen'!W204</f>
      </c>
      <c r="Z16" s="60">
        <f>'Annahmen'!X204</f>
      </c>
      <c r="AA16" s="60">
        <f>'Annahmen'!Y204</f>
      </c>
      <c r="AB16" s="60">
        <f>'Annahmen'!Z204</f>
      </c>
      <c r="AC16" s="60">
        <f>'Annahmen'!AA204</f>
      </c>
      <c r="AD16" s="60">
        <f>'Annahmen'!AB204</f>
      </c>
      <c r="AE16" s="61">
        <f>SUM(S16:AD16)</f>
      </c>
      <c r="AF16" s="60">
        <f>'Annahmen'!AD204</f>
      </c>
      <c r="AG16" s="60">
        <f>'Annahmen'!AE204</f>
      </c>
      <c r="AH16" s="60">
        <f>'Annahmen'!AF204</f>
      </c>
      <c r="AI16" s="60">
        <f>'Annahmen'!AG204</f>
      </c>
      <c r="AJ16" s="60">
        <f>'Annahmen'!AH204</f>
      </c>
      <c r="AK16" s="60">
        <f>'Annahmen'!AI204</f>
      </c>
      <c r="AL16" s="60">
        <f>'Annahmen'!AJ204</f>
      </c>
      <c r="AM16" s="60">
        <f>'Annahmen'!AK204</f>
      </c>
      <c r="AN16" s="60">
        <f>'Annahmen'!AL204</f>
      </c>
      <c r="AO16" s="60">
        <f>'Annahmen'!AM204</f>
      </c>
      <c r="AP16" s="60">
        <f>'Annahmen'!AN204</f>
      </c>
      <c r="AQ16" s="60">
        <f>'Annahmen'!AO204</f>
      </c>
      <c r="AR16" s="61">
        <f>SUM(AF16:AQ16)</f>
      </c>
    </row>
    <row r="17" spans="2:44" x14ac:dyDescent="0.25">
      <c r="B17" s="19" t="s">
        <v>317</v>
      </c>
      <c r="C17" s="59">
        <v>-396000</v>
      </c>
      <c r="D17" s="59">
        <v>-549000</v>
      </c>
      <c r="E17" s="59">
        <v>-738000</v>
      </c>
      <c r="F17" s="60">
        <f>-'Annahmen'!D229</f>
      </c>
      <c r="G17" s="60">
        <f>-'Annahmen'!E229</f>
      </c>
      <c r="H17" s="60">
        <f>-'Annahmen'!F229</f>
      </c>
      <c r="I17" s="60">
        <f>-'Annahmen'!G229</f>
      </c>
      <c r="J17" s="60">
        <f>-'Annahmen'!H229</f>
      </c>
      <c r="K17" s="60">
        <f>-'Annahmen'!I229</f>
      </c>
      <c r="L17" s="60">
        <f>-'Annahmen'!J229</f>
      </c>
      <c r="M17" s="60">
        <f>-'Annahmen'!K229</f>
      </c>
      <c r="N17" s="60">
        <f>-'Annahmen'!L229</f>
      </c>
      <c r="O17" s="60">
        <f>-'Annahmen'!M229</f>
      </c>
      <c r="P17" s="60">
        <f>-'Annahmen'!N229</f>
      </c>
      <c r="Q17" s="60">
        <f>-'Annahmen'!O229</f>
      </c>
      <c r="R17" s="61">
        <f>SUM(F17:Q17)</f>
      </c>
      <c r="S17" s="60">
        <f>-'Annahmen'!Q229</f>
      </c>
      <c r="T17" s="60">
        <f>-'Annahmen'!R229</f>
      </c>
      <c r="U17" s="60">
        <f>-'Annahmen'!S229</f>
      </c>
      <c r="V17" s="60">
        <f>-'Annahmen'!T229</f>
      </c>
      <c r="W17" s="60">
        <f>-'Annahmen'!U229</f>
      </c>
      <c r="X17" s="60">
        <f>-'Annahmen'!V229</f>
      </c>
      <c r="Y17" s="60">
        <f>-'Annahmen'!W229</f>
      </c>
      <c r="Z17" s="60">
        <f>-'Annahmen'!X229</f>
      </c>
      <c r="AA17" s="60">
        <f>-'Annahmen'!Y229</f>
      </c>
      <c r="AB17" s="60">
        <f>-'Annahmen'!Z229</f>
      </c>
      <c r="AC17" s="60">
        <f>-'Annahmen'!AA229</f>
      </c>
      <c r="AD17" s="60">
        <f>-'Annahmen'!AB229</f>
      </c>
      <c r="AE17" s="61">
        <f>SUM(S17:AD17)</f>
      </c>
      <c r="AF17" s="60">
        <f>-'Annahmen'!AD229</f>
      </c>
      <c r="AG17" s="60">
        <f>-'Annahmen'!AE229</f>
      </c>
      <c r="AH17" s="60">
        <f>-'Annahmen'!AF229</f>
      </c>
      <c r="AI17" s="60">
        <f>-'Annahmen'!AG229</f>
      </c>
      <c r="AJ17" s="60">
        <f>-'Annahmen'!AH229</f>
      </c>
      <c r="AK17" s="60">
        <f>-'Annahmen'!AI229</f>
      </c>
      <c r="AL17" s="60">
        <f>-'Annahmen'!AJ229</f>
      </c>
      <c r="AM17" s="60">
        <f>-'Annahmen'!AK229</f>
      </c>
      <c r="AN17" s="60">
        <f>-'Annahmen'!AL229</f>
      </c>
      <c r="AO17" s="60">
        <f>-'Annahmen'!AM229</f>
      </c>
      <c r="AP17" s="60">
        <f>-'Annahmen'!AN229</f>
      </c>
      <c r="AQ17" s="60">
        <f>-'Annahmen'!AO229</f>
      </c>
      <c r="AR17" s="61">
        <f>SUM(AF17:AQ17)</f>
      </c>
    </row>
    <row r="18" spans="2:44" x14ac:dyDescent="0.25">
      <c r="B18" s="29" t="s">
        <v>318</v>
      </c>
      <c r="C18" s="62">
        <v>1804000</v>
      </c>
      <c r="D18" s="62">
        <v>2501000</v>
      </c>
      <c r="E18" s="62">
        <v>3362000</v>
      </c>
      <c r="F18" s="63">
        <f>F4+F17</f>
      </c>
      <c r="G18" s="63">
        <f>G4+G17</f>
      </c>
      <c r="H18" s="63">
        <f>H4+H17</f>
      </c>
      <c r="I18" s="63">
        <f>I4+I17</f>
      </c>
      <c r="J18" s="63">
        <f>J4+J17</f>
      </c>
      <c r="K18" s="63">
        <f>K4+K17</f>
      </c>
      <c r="L18" s="63">
        <f>L4+L17</f>
      </c>
      <c r="M18" s="63">
        <f>M4+M17</f>
      </c>
      <c r="N18" s="63">
        <f>N4+N17</f>
      </c>
      <c r="O18" s="63">
        <f>O4+O17</f>
      </c>
      <c r="P18" s="63">
        <f>P4+P17</f>
      </c>
      <c r="Q18" s="63">
        <f>Q4+Q17</f>
      </c>
      <c r="R18" s="64">
        <f>SUM(F18:Q18)</f>
      </c>
      <c r="S18" s="63">
        <f>S4+S17</f>
      </c>
      <c r="T18" s="63">
        <f>T4+T17</f>
      </c>
      <c r="U18" s="63">
        <f>U4+U17</f>
      </c>
      <c r="V18" s="63">
        <f>V4+V17</f>
      </c>
      <c r="W18" s="63">
        <f>W4+W17</f>
      </c>
      <c r="X18" s="63">
        <f>X4+X17</f>
      </c>
      <c r="Y18" s="63">
        <f>Y4+Y17</f>
      </c>
      <c r="Z18" s="63">
        <f>Z4+Z17</f>
      </c>
      <c r="AA18" s="63">
        <f>AA4+AA17</f>
      </c>
      <c r="AB18" s="63">
        <f>AB4+AB17</f>
      </c>
      <c r="AC18" s="63">
        <f>AC4+AC17</f>
      </c>
      <c r="AD18" s="63">
        <f>AD4+AD17</f>
      </c>
      <c r="AE18" s="64">
        <f>SUM(S18:AD18)</f>
      </c>
      <c r="AF18" s="63">
        <f>AF4+AF17</f>
      </c>
      <c r="AG18" s="63">
        <f>AG4+AG17</f>
      </c>
      <c r="AH18" s="63">
        <f>AH4+AH17</f>
      </c>
      <c r="AI18" s="63">
        <f>AI4+AI17</f>
      </c>
      <c r="AJ18" s="63">
        <f>AJ4+AJ17</f>
      </c>
      <c r="AK18" s="63">
        <f>AK4+AK17</f>
      </c>
      <c r="AL18" s="63">
        <f>AL4+AL17</f>
      </c>
      <c r="AM18" s="63">
        <f>AM4+AM17</f>
      </c>
      <c r="AN18" s="63">
        <f>AN4+AN17</f>
      </c>
      <c r="AO18" s="63">
        <f>AO4+AO17</f>
      </c>
      <c r="AP18" s="63">
        <f>AP4+AP17</f>
      </c>
      <c r="AQ18" s="63">
        <f>AQ4+AQ17</f>
      </c>
      <c r="AR18" s="64">
        <f>SUM(AF18:AQ18)</f>
      </c>
    </row>
    <row r="19" spans="3:44" x14ac:dyDescent="0.25">
      <c r="C19" s="65"/>
      <c r="D19" s="65"/>
      <c r="E19" s="65"/>
      <c r="R19" s="65"/>
      <c r="AE19" s="65"/>
      <c r="AR19" s="65"/>
    </row>
    <row r="20" spans="2:44" x14ac:dyDescent="0.25">
      <c r="B20" s="19" t="s">
        <v>319</v>
      </c>
      <c r="C20" s="59">
        <v>0</v>
      </c>
      <c r="D20" s="59">
        <v>0</v>
      </c>
      <c r="E20" s="59">
        <v>0</v>
      </c>
      <c r="F20" s="60">
        <f>'Annahmen'!D243</f>
      </c>
      <c r="G20" s="60">
        <f>'Annahmen'!E243</f>
      </c>
      <c r="H20" s="60">
        <f>'Annahmen'!F243</f>
      </c>
      <c r="I20" s="60">
        <f>'Annahmen'!G243</f>
      </c>
      <c r="J20" s="60">
        <f>'Annahmen'!H243</f>
      </c>
      <c r="K20" s="60">
        <f>'Annahmen'!I243</f>
      </c>
      <c r="L20" s="60">
        <f>'Annahmen'!J243</f>
      </c>
      <c r="M20" s="60">
        <f>'Annahmen'!K243</f>
      </c>
      <c r="N20" s="60">
        <f>'Annahmen'!L243</f>
      </c>
      <c r="O20" s="60">
        <f>'Annahmen'!M243</f>
      </c>
      <c r="P20" s="60">
        <f>'Annahmen'!N243</f>
      </c>
      <c r="Q20" s="60">
        <f>'Annahmen'!O243</f>
      </c>
      <c r="R20" s="61">
        <f>SUM(F20:Q20)</f>
      </c>
      <c r="S20" s="60">
        <f>'Annahmen'!Q243</f>
      </c>
      <c r="T20" s="60">
        <f>'Annahmen'!R243</f>
      </c>
      <c r="U20" s="60">
        <f>'Annahmen'!S243</f>
      </c>
      <c r="V20" s="60">
        <f>'Annahmen'!T243</f>
      </c>
      <c r="W20" s="60">
        <f>'Annahmen'!U243</f>
      </c>
      <c r="X20" s="60">
        <f>'Annahmen'!V243</f>
      </c>
      <c r="Y20" s="60">
        <f>'Annahmen'!W243</f>
      </c>
      <c r="Z20" s="60">
        <f>'Annahmen'!X243</f>
      </c>
      <c r="AA20" s="60">
        <f>'Annahmen'!Y243</f>
      </c>
      <c r="AB20" s="60">
        <f>'Annahmen'!Z243</f>
      </c>
      <c r="AC20" s="60">
        <f>'Annahmen'!AA243</f>
      </c>
      <c r="AD20" s="60">
        <f>'Annahmen'!AB243</f>
      </c>
      <c r="AE20" s="61">
        <f>SUM(S20:AD20)</f>
      </c>
      <c r="AF20" s="60">
        <f>'Annahmen'!AD243</f>
      </c>
      <c r="AG20" s="60">
        <f>'Annahmen'!AE243</f>
      </c>
      <c r="AH20" s="60">
        <f>'Annahmen'!AF243</f>
      </c>
      <c r="AI20" s="60">
        <f>'Annahmen'!AG243</f>
      </c>
      <c r="AJ20" s="60">
        <f>'Annahmen'!AH243</f>
      </c>
      <c r="AK20" s="60">
        <f>'Annahmen'!AI243</f>
      </c>
      <c r="AL20" s="60">
        <f>'Annahmen'!AJ243</f>
      </c>
      <c r="AM20" s="60">
        <f>'Annahmen'!AK243</f>
      </c>
      <c r="AN20" s="60">
        <f>'Annahmen'!AL243</f>
      </c>
      <c r="AO20" s="60">
        <f>'Annahmen'!AM243</f>
      </c>
      <c r="AP20" s="60">
        <f>'Annahmen'!AN243</f>
      </c>
      <c r="AQ20" s="60">
        <f>'Annahmen'!AO243</f>
      </c>
      <c r="AR20" s="61">
        <f>SUM(AF20:AQ20)</f>
      </c>
    </row>
    <row r="21" spans="2:44" x14ac:dyDescent="0.25">
      <c r="B21" s="29" t="s">
        <v>320</v>
      </c>
      <c r="C21" s="55">
        <v>-1180000</v>
      </c>
      <c r="D21" s="55">
        <v>-1480000</v>
      </c>
      <c r="E21" s="55">
        <v>-1820000</v>
      </c>
      <c r="F21" s="56">
        <f>F22+F23</f>
      </c>
      <c r="G21" s="56">
        <f>G22+G23</f>
      </c>
      <c r="H21" s="56">
        <f>H22+H23</f>
      </c>
      <c r="I21" s="56">
        <f>I22+I23</f>
      </c>
      <c r="J21" s="56">
        <f>J22+J23</f>
      </c>
      <c r="K21" s="56">
        <f>K22+K23</f>
      </c>
      <c r="L21" s="56">
        <f>L22+L23</f>
      </c>
      <c r="M21" s="56">
        <f>M22+M23</f>
      </c>
      <c r="N21" s="56">
        <f>N22+N23</f>
      </c>
      <c r="O21" s="56">
        <f>O22+O23</f>
      </c>
      <c r="P21" s="56">
        <f>P22+P23</f>
      </c>
      <c r="Q21" s="56">
        <f>Q22+Q23</f>
      </c>
      <c r="R21" s="57">
        <f>SUM(F21:Q21)</f>
      </c>
      <c r="S21" s="56">
        <f>S22+S23</f>
      </c>
      <c r="T21" s="56">
        <f>T22+T23</f>
      </c>
      <c r="U21" s="56">
        <f>U22+U23</f>
      </c>
      <c r="V21" s="56">
        <f>V22+V23</f>
      </c>
      <c r="W21" s="56">
        <f>W22+W23</f>
      </c>
      <c r="X21" s="56">
        <f>X22+X23</f>
      </c>
      <c r="Y21" s="56">
        <f>Y22+Y23</f>
      </c>
      <c r="Z21" s="56">
        <f>Z22+Z23</f>
      </c>
      <c r="AA21" s="56">
        <f>AA22+AA23</f>
      </c>
      <c r="AB21" s="56">
        <f>AB22+AB23</f>
      </c>
      <c r="AC21" s="56">
        <f>AC22+AC23</f>
      </c>
      <c r="AD21" s="56">
        <f>AD22+AD23</f>
      </c>
      <c r="AE21" s="57">
        <f>SUM(S21:AD21)</f>
      </c>
      <c r="AF21" s="56">
        <f>AF22+AF23</f>
      </c>
      <c r="AG21" s="56">
        <f>AG22+AG23</f>
      </c>
      <c r="AH21" s="56">
        <f>AH22+AH23</f>
      </c>
      <c r="AI21" s="56">
        <f>AI22+AI23</f>
      </c>
      <c r="AJ21" s="56">
        <f>AJ22+AJ23</f>
      </c>
      <c r="AK21" s="56">
        <f>AK22+AK23</f>
      </c>
      <c r="AL21" s="56">
        <f>AL22+AL23</f>
      </c>
      <c r="AM21" s="56">
        <f>AM22+AM23</f>
      </c>
      <c r="AN21" s="56">
        <f>AN22+AN23</f>
      </c>
      <c r="AO21" s="56">
        <f>AO22+AO23</f>
      </c>
      <c r="AP21" s="56">
        <f>AP22+AP23</f>
      </c>
      <c r="AQ21" s="56">
        <f>AQ22+AQ23</f>
      </c>
      <c r="AR21" s="57">
        <f>SUM(AF21:AQ21)</f>
      </c>
    </row>
    <row r="22" spans="2:44" x14ac:dyDescent="0.25">
      <c r="B22" s="19" t="s">
        <v>321</v>
      </c>
      <c r="C22" s="59">
        <v>-164767</v>
      </c>
      <c r="D22" s="59">
        <v>-206657</v>
      </c>
      <c r="E22" s="59">
        <v>-254132</v>
      </c>
      <c r="F22" s="60">
        <f>-'Annahmen'!D208</f>
      </c>
      <c r="G22" s="60">
        <f>-'Annahmen'!E208</f>
      </c>
      <c r="H22" s="60">
        <f>-'Annahmen'!F208</f>
      </c>
      <c r="I22" s="60">
        <f>-'Annahmen'!G208</f>
      </c>
      <c r="J22" s="60">
        <f>-'Annahmen'!H208</f>
      </c>
      <c r="K22" s="60">
        <f>-'Annahmen'!I208</f>
      </c>
      <c r="L22" s="60">
        <f>-'Annahmen'!J208</f>
      </c>
      <c r="M22" s="60">
        <f>-'Annahmen'!K208</f>
      </c>
      <c r="N22" s="60">
        <f>-'Annahmen'!L208</f>
      </c>
      <c r="O22" s="60">
        <f>-'Annahmen'!M208</f>
      </c>
      <c r="P22" s="60">
        <f>-'Annahmen'!N208</f>
      </c>
      <c r="Q22" s="60">
        <f>-'Annahmen'!O208</f>
      </c>
      <c r="R22" s="61">
        <f>SUM(F22:Q22)</f>
      </c>
      <c r="S22" s="60">
        <f>-'Annahmen'!Q208</f>
      </c>
      <c r="T22" s="60">
        <f>-'Annahmen'!R208</f>
      </c>
      <c r="U22" s="60">
        <f>-'Annahmen'!S208</f>
      </c>
      <c r="V22" s="60">
        <f>-'Annahmen'!T208</f>
      </c>
      <c r="W22" s="60">
        <f>-'Annahmen'!U208</f>
      </c>
      <c r="X22" s="60">
        <f>-'Annahmen'!V208</f>
      </c>
      <c r="Y22" s="60">
        <f>-'Annahmen'!W208</f>
      </c>
      <c r="Z22" s="60">
        <f>-'Annahmen'!X208</f>
      </c>
      <c r="AA22" s="60">
        <f>-'Annahmen'!Y208</f>
      </c>
      <c r="AB22" s="60">
        <f>-'Annahmen'!Z208</f>
      </c>
      <c r="AC22" s="60">
        <f>-'Annahmen'!AA208</f>
      </c>
      <c r="AD22" s="60">
        <f>-'Annahmen'!AB208</f>
      </c>
      <c r="AE22" s="61">
        <f>SUM(S22:AD22)</f>
      </c>
      <c r="AF22" s="60">
        <f>-'Annahmen'!AD208</f>
      </c>
      <c r="AG22" s="60">
        <f>-'Annahmen'!AE208</f>
      </c>
      <c r="AH22" s="60">
        <f>-'Annahmen'!AF208</f>
      </c>
      <c r="AI22" s="60">
        <f>-'Annahmen'!AG208</f>
      </c>
      <c r="AJ22" s="60">
        <f>-'Annahmen'!AH208</f>
      </c>
      <c r="AK22" s="60">
        <f>-'Annahmen'!AI208</f>
      </c>
      <c r="AL22" s="60">
        <f>-'Annahmen'!AJ208</f>
      </c>
      <c r="AM22" s="60">
        <f>-'Annahmen'!AK208</f>
      </c>
      <c r="AN22" s="60">
        <f>-'Annahmen'!AL208</f>
      </c>
      <c r="AO22" s="60">
        <f>-'Annahmen'!AM208</f>
      </c>
      <c r="AP22" s="60">
        <f>-'Annahmen'!AN208</f>
      </c>
      <c r="AQ22" s="60">
        <f>-'Annahmen'!AO208</f>
      </c>
      <c r="AR22" s="61">
        <f>SUM(AF22:AQ22)</f>
      </c>
    </row>
    <row r="23" spans="2:44" x14ac:dyDescent="0.25">
      <c r="B23" s="19" t="s">
        <v>322</v>
      </c>
      <c r="C23" s="59">
        <v>-1015233</v>
      </c>
      <c r="D23" s="59">
        <v>-1273343</v>
      </c>
      <c r="E23" s="59">
        <v>-1565868</v>
      </c>
      <c r="F23" s="60">
        <f>-'Annahmen'!D217</f>
      </c>
      <c r="G23" s="60">
        <f>-'Annahmen'!E217</f>
      </c>
      <c r="H23" s="60">
        <f>-'Annahmen'!F217</f>
      </c>
      <c r="I23" s="60">
        <f>-'Annahmen'!G217</f>
      </c>
      <c r="J23" s="60">
        <f>-'Annahmen'!H217</f>
      </c>
      <c r="K23" s="60">
        <f>-'Annahmen'!I217</f>
      </c>
      <c r="L23" s="60">
        <f>-'Annahmen'!J217</f>
      </c>
      <c r="M23" s="60">
        <f>-'Annahmen'!K217</f>
      </c>
      <c r="N23" s="60">
        <f>-'Annahmen'!L217</f>
      </c>
      <c r="O23" s="60">
        <f>-'Annahmen'!M217</f>
      </c>
      <c r="P23" s="60">
        <f>-'Annahmen'!N217</f>
      </c>
      <c r="Q23" s="60">
        <f>-'Annahmen'!O217</f>
      </c>
      <c r="R23" s="61">
        <f>SUM(F23:Q23)</f>
      </c>
      <c r="S23" s="60">
        <f>-'Annahmen'!Q217</f>
      </c>
      <c r="T23" s="60">
        <f>-'Annahmen'!R217</f>
      </c>
      <c r="U23" s="60">
        <f>-'Annahmen'!S217</f>
      </c>
      <c r="V23" s="60">
        <f>-'Annahmen'!T217</f>
      </c>
      <c r="W23" s="60">
        <f>-'Annahmen'!U217</f>
      </c>
      <c r="X23" s="60">
        <f>-'Annahmen'!V217</f>
      </c>
      <c r="Y23" s="60">
        <f>-'Annahmen'!W217</f>
      </c>
      <c r="Z23" s="60">
        <f>-'Annahmen'!X217</f>
      </c>
      <c r="AA23" s="60">
        <f>-'Annahmen'!Y217</f>
      </c>
      <c r="AB23" s="60">
        <f>-'Annahmen'!Z217</f>
      </c>
      <c r="AC23" s="60">
        <f>-'Annahmen'!AA217</f>
      </c>
      <c r="AD23" s="60">
        <f>-'Annahmen'!AB217</f>
      </c>
      <c r="AE23" s="61">
        <f>SUM(S23:AD23)</f>
      </c>
      <c r="AF23" s="60">
        <f>-'Annahmen'!AD217</f>
      </c>
      <c r="AG23" s="60">
        <f>-'Annahmen'!AE217</f>
      </c>
      <c r="AH23" s="60">
        <f>-'Annahmen'!AF217</f>
      </c>
      <c r="AI23" s="60">
        <f>-'Annahmen'!AG217</f>
      </c>
      <c r="AJ23" s="60">
        <f>-'Annahmen'!AH217</f>
      </c>
      <c r="AK23" s="60">
        <f>-'Annahmen'!AI217</f>
      </c>
      <c r="AL23" s="60">
        <f>-'Annahmen'!AJ217</f>
      </c>
      <c r="AM23" s="60">
        <f>-'Annahmen'!AK217</f>
      </c>
      <c r="AN23" s="60">
        <f>-'Annahmen'!AL217</f>
      </c>
      <c r="AO23" s="60">
        <f>-'Annahmen'!AM217</f>
      </c>
      <c r="AP23" s="60">
        <f>-'Annahmen'!AN217</f>
      </c>
      <c r="AQ23" s="60">
        <f>-'Annahmen'!AO217</f>
      </c>
      <c r="AR23" s="61">
        <f>SUM(AF23:AQ23)</f>
      </c>
    </row>
    <row r="24" spans="2:44" x14ac:dyDescent="0.25">
      <c r="B24" s="58" t="s">
        <v>323</v>
      </c>
      <c r="C24" s="59">
        <v>-251125</v>
      </c>
      <c r="D24" s="59">
        <v>-314970</v>
      </c>
      <c r="E24" s="59">
        <v>-387328</v>
      </c>
      <c r="F24" s="60">
        <f>-'Annahmen'!D209</f>
      </c>
      <c r="G24" s="60">
        <f>-'Annahmen'!E209</f>
      </c>
      <c r="H24" s="60">
        <f>-'Annahmen'!F209</f>
      </c>
      <c r="I24" s="60">
        <f>-'Annahmen'!G209</f>
      </c>
      <c r="J24" s="60">
        <f>-'Annahmen'!H209</f>
      </c>
      <c r="K24" s="60">
        <f>-'Annahmen'!I209</f>
      </c>
      <c r="L24" s="60">
        <f>-'Annahmen'!J209</f>
      </c>
      <c r="M24" s="60">
        <f>-'Annahmen'!K209</f>
      </c>
      <c r="N24" s="60">
        <f>-'Annahmen'!L209</f>
      </c>
      <c r="O24" s="60">
        <f>-'Annahmen'!M209</f>
      </c>
      <c r="P24" s="60">
        <f>-'Annahmen'!N209</f>
      </c>
      <c r="Q24" s="60">
        <f>-'Annahmen'!O209</f>
      </c>
      <c r="R24" s="61">
        <f>SUM(F24:Q24)</f>
      </c>
      <c r="S24" s="60">
        <f>-'Annahmen'!Q209</f>
      </c>
      <c r="T24" s="60">
        <f>-'Annahmen'!R209</f>
      </c>
      <c r="U24" s="60">
        <f>-'Annahmen'!S209</f>
      </c>
      <c r="V24" s="60">
        <f>-'Annahmen'!T209</f>
      </c>
      <c r="W24" s="60">
        <f>-'Annahmen'!U209</f>
      </c>
      <c r="X24" s="60">
        <f>-'Annahmen'!V209</f>
      </c>
      <c r="Y24" s="60">
        <f>-'Annahmen'!W209</f>
      </c>
      <c r="Z24" s="60">
        <f>-'Annahmen'!X209</f>
      </c>
      <c r="AA24" s="60">
        <f>-'Annahmen'!Y209</f>
      </c>
      <c r="AB24" s="60">
        <f>-'Annahmen'!Z209</f>
      </c>
      <c r="AC24" s="60">
        <f>-'Annahmen'!AA209</f>
      </c>
      <c r="AD24" s="60">
        <f>-'Annahmen'!AB209</f>
      </c>
      <c r="AE24" s="61">
        <f>SUM(S24:AD24)</f>
      </c>
      <c r="AF24" s="60">
        <f>-'Annahmen'!AD209</f>
      </c>
      <c r="AG24" s="60">
        <f>-'Annahmen'!AE209</f>
      </c>
      <c r="AH24" s="60">
        <f>-'Annahmen'!AF209</f>
      </c>
      <c r="AI24" s="60">
        <f>-'Annahmen'!AG209</f>
      </c>
      <c r="AJ24" s="60">
        <f>-'Annahmen'!AH209</f>
      </c>
      <c r="AK24" s="60">
        <f>-'Annahmen'!AI209</f>
      </c>
      <c r="AL24" s="60">
        <f>-'Annahmen'!AJ209</f>
      </c>
      <c r="AM24" s="60">
        <f>-'Annahmen'!AK209</f>
      </c>
      <c r="AN24" s="60">
        <f>-'Annahmen'!AL209</f>
      </c>
      <c r="AO24" s="60">
        <f>-'Annahmen'!AM209</f>
      </c>
      <c r="AP24" s="60">
        <f>-'Annahmen'!AN209</f>
      </c>
      <c r="AQ24" s="60">
        <f>-'Annahmen'!AO209</f>
      </c>
      <c r="AR24" s="61">
        <f>SUM(AF24:AQ24)</f>
      </c>
    </row>
    <row r="25" spans="2:44" x14ac:dyDescent="0.25">
      <c r="B25" s="58" t="s">
        <v>324</v>
      </c>
      <c r="C25" s="59">
        <v>-122722</v>
      </c>
      <c r="D25" s="59">
        <v>-153922</v>
      </c>
      <c r="E25" s="59">
        <v>-189282</v>
      </c>
      <c r="F25" s="60">
        <f>-'Annahmen'!D210</f>
      </c>
      <c r="G25" s="60">
        <f>-'Annahmen'!E210</f>
      </c>
      <c r="H25" s="60">
        <f>-'Annahmen'!F210</f>
      </c>
      <c r="I25" s="60">
        <f>-'Annahmen'!G210</f>
      </c>
      <c r="J25" s="60">
        <f>-'Annahmen'!H210</f>
      </c>
      <c r="K25" s="60">
        <f>-'Annahmen'!I210</f>
      </c>
      <c r="L25" s="60">
        <f>-'Annahmen'!J210</f>
      </c>
      <c r="M25" s="60">
        <f>-'Annahmen'!K210</f>
      </c>
      <c r="N25" s="60">
        <f>-'Annahmen'!L210</f>
      </c>
      <c r="O25" s="60">
        <f>-'Annahmen'!M210</f>
      </c>
      <c r="P25" s="60">
        <f>-'Annahmen'!N210</f>
      </c>
      <c r="Q25" s="60">
        <f>-'Annahmen'!O210</f>
      </c>
      <c r="R25" s="61">
        <f>SUM(F25:Q25)</f>
      </c>
      <c r="S25" s="60">
        <f>-'Annahmen'!Q210</f>
      </c>
      <c r="T25" s="60">
        <f>-'Annahmen'!R210</f>
      </c>
      <c r="U25" s="60">
        <f>-'Annahmen'!S210</f>
      </c>
      <c r="V25" s="60">
        <f>-'Annahmen'!T210</f>
      </c>
      <c r="W25" s="60">
        <f>-'Annahmen'!U210</f>
      </c>
      <c r="X25" s="60">
        <f>-'Annahmen'!V210</f>
      </c>
      <c r="Y25" s="60">
        <f>-'Annahmen'!W210</f>
      </c>
      <c r="Z25" s="60">
        <f>-'Annahmen'!X210</f>
      </c>
      <c r="AA25" s="60">
        <f>-'Annahmen'!Y210</f>
      </c>
      <c r="AB25" s="60">
        <f>-'Annahmen'!Z210</f>
      </c>
      <c r="AC25" s="60">
        <f>-'Annahmen'!AA210</f>
      </c>
      <c r="AD25" s="60">
        <f>-'Annahmen'!AB210</f>
      </c>
      <c r="AE25" s="61">
        <f>SUM(S25:AD25)</f>
      </c>
      <c r="AF25" s="60">
        <f>-'Annahmen'!AD210</f>
      </c>
      <c r="AG25" s="60">
        <f>-'Annahmen'!AE210</f>
      </c>
      <c r="AH25" s="60">
        <f>-'Annahmen'!AF210</f>
      </c>
      <c r="AI25" s="60">
        <f>-'Annahmen'!AG210</f>
      </c>
      <c r="AJ25" s="60">
        <f>-'Annahmen'!AH210</f>
      </c>
      <c r="AK25" s="60">
        <f>-'Annahmen'!AI210</f>
      </c>
      <c r="AL25" s="60">
        <f>-'Annahmen'!AJ210</f>
      </c>
      <c r="AM25" s="60">
        <f>-'Annahmen'!AK210</f>
      </c>
      <c r="AN25" s="60">
        <f>-'Annahmen'!AL210</f>
      </c>
      <c r="AO25" s="60">
        <f>-'Annahmen'!AM210</f>
      </c>
      <c r="AP25" s="60">
        <f>-'Annahmen'!AN210</f>
      </c>
      <c r="AQ25" s="60">
        <f>-'Annahmen'!AO210</f>
      </c>
      <c r="AR25" s="61">
        <f>SUM(AF25:AQ25)</f>
      </c>
    </row>
    <row r="26" spans="2:44" x14ac:dyDescent="0.25">
      <c r="B26" s="58" t="s">
        <v>325</v>
      </c>
      <c r="C26" s="59">
        <v>-126131</v>
      </c>
      <c r="D26" s="59">
        <v>-158198</v>
      </c>
      <c r="E26" s="59">
        <v>-194540</v>
      </c>
      <c r="F26" s="60">
        <f>-'Annahmen'!D211</f>
      </c>
      <c r="G26" s="60">
        <f>-'Annahmen'!E211</f>
      </c>
      <c r="H26" s="60">
        <f>-'Annahmen'!F211</f>
      </c>
      <c r="I26" s="60">
        <f>-'Annahmen'!G211</f>
      </c>
      <c r="J26" s="60">
        <f>-'Annahmen'!H211</f>
      </c>
      <c r="K26" s="60">
        <f>-'Annahmen'!I211</f>
      </c>
      <c r="L26" s="60">
        <f>-'Annahmen'!J211</f>
      </c>
      <c r="M26" s="60">
        <f>-'Annahmen'!K211</f>
      </c>
      <c r="N26" s="60">
        <f>-'Annahmen'!L211</f>
      </c>
      <c r="O26" s="60">
        <f>-'Annahmen'!M211</f>
      </c>
      <c r="P26" s="60">
        <f>-'Annahmen'!N211</f>
      </c>
      <c r="Q26" s="60">
        <f>-'Annahmen'!O211</f>
      </c>
      <c r="R26" s="61">
        <f>SUM(F26:Q26)</f>
      </c>
      <c r="S26" s="60">
        <f>-'Annahmen'!Q211</f>
      </c>
      <c r="T26" s="60">
        <f>-'Annahmen'!R211</f>
      </c>
      <c r="U26" s="60">
        <f>-'Annahmen'!S211</f>
      </c>
      <c r="V26" s="60">
        <f>-'Annahmen'!T211</f>
      </c>
      <c r="W26" s="60">
        <f>-'Annahmen'!U211</f>
      </c>
      <c r="X26" s="60">
        <f>-'Annahmen'!V211</f>
      </c>
      <c r="Y26" s="60">
        <f>-'Annahmen'!W211</f>
      </c>
      <c r="Z26" s="60">
        <f>-'Annahmen'!X211</f>
      </c>
      <c r="AA26" s="60">
        <f>-'Annahmen'!Y211</f>
      </c>
      <c r="AB26" s="60">
        <f>-'Annahmen'!Z211</f>
      </c>
      <c r="AC26" s="60">
        <f>-'Annahmen'!AA211</f>
      </c>
      <c r="AD26" s="60">
        <f>-'Annahmen'!AB211</f>
      </c>
      <c r="AE26" s="61">
        <f>SUM(S26:AD26)</f>
      </c>
      <c r="AF26" s="60">
        <f>-'Annahmen'!AD211</f>
      </c>
      <c r="AG26" s="60">
        <f>-'Annahmen'!AE211</f>
      </c>
      <c r="AH26" s="60">
        <f>-'Annahmen'!AF211</f>
      </c>
      <c r="AI26" s="60">
        <f>-'Annahmen'!AG211</f>
      </c>
      <c r="AJ26" s="60">
        <f>-'Annahmen'!AH211</f>
      </c>
      <c r="AK26" s="60">
        <f>-'Annahmen'!AI211</f>
      </c>
      <c r="AL26" s="60">
        <f>-'Annahmen'!AJ211</f>
      </c>
      <c r="AM26" s="60">
        <f>-'Annahmen'!AK211</f>
      </c>
      <c r="AN26" s="60">
        <f>-'Annahmen'!AL211</f>
      </c>
      <c r="AO26" s="60">
        <f>-'Annahmen'!AM211</f>
      </c>
      <c r="AP26" s="60">
        <f>-'Annahmen'!AN211</f>
      </c>
      <c r="AQ26" s="60">
        <f>-'Annahmen'!AO211</f>
      </c>
      <c r="AR26" s="61">
        <f>SUM(AF26:AQ26)</f>
      </c>
    </row>
    <row r="27" spans="2:44" x14ac:dyDescent="0.25">
      <c r="B27" s="58" t="s">
        <v>326</v>
      </c>
      <c r="C27" s="59">
        <v>-108708</v>
      </c>
      <c r="D27" s="59">
        <v>-136346</v>
      </c>
      <c r="E27" s="59">
        <v>-167669</v>
      </c>
      <c r="F27" s="60">
        <f>-'Annahmen'!D212</f>
      </c>
      <c r="G27" s="60">
        <f>-'Annahmen'!E212</f>
      </c>
      <c r="H27" s="60">
        <f>-'Annahmen'!F212</f>
      </c>
      <c r="I27" s="60">
        <f>-'Annahmen'!G212</f>
      </c>
      <c r="J27" s="60">
        <f>-'Annahmen'!H212</f>
      </c>
      <c r="K27" s="60">
        <f>-'Annahmen'!I212</f>
      </c>
      <c r="L27" s="60">
        <f>-'Annahmen'!J212</f>
      </c>
      <c r="M27" s="60">
        <f>-'Annahmen'!K212</f>
      </c>
      <c r="N27" s="60">
        <f>-'Annahmen'!L212</f>
      </c>
      <c r="O27" s="60">
        <f>-'Annahmen'!M212</f>
      </c>
      <c r="P27" s="60">
        <f>-'Annahmen'!N212</f>
      </c>
      <c r="Q27" s="60">
        <f>-'Annahmen'!O212</f>
      </c>
      <c r="R27" s="61">
        <f>SUM(F27:Q27)</f>
      </c>
      <c r="S27" s="60">
        <f>-'Annahmen'!Q212</f>
      </c>
      <c r="T27" s="60">
        <f>-'Annahmen'!R212</f>
      </c>
      <c r="U27" s="60">
        <f>-'Annahmen'!S212</f>
      </c>
      <c r="V27" s="60">
        <f>-'Annahmen'!T212</f>
      </c>
      <c r="W27" s="60">
        <f>-'Annahmen'!U212</f>
      </c>
      <c r="X27" s="60">
        <f>-'Annahmen'!V212</f>
      </c>
      <c r="Y27" s="60">
        <f>-'Annahmen'!W212</f>
      </c>
      <c r="Z27" s="60">
        <f>-'Annahmen'!X212</f>
      </c>
      <c r="AA27" s="60">
        <f>-'Annahmen'!Y212</f>
      </c>
      <c r="AB27" s="60">
        <f>-'Annahmen'!Z212</f>
      </c>
      <c r="AC27" s="60">
        <f>-'Annahmen'!AA212</f>
      </c>
      <c r="AD27" s="60">
        <f>-'Annahmen'!AB212</f>
      </c>
      <c r="AE27" s="61">
        <f>SUM(S27:AD27)</f>
      </c>
      <c r="AF27" s="60">
        <f>-'Annahmen'!AD212</f>
      </c>
      <c r="AG27" s="60">
        <f>-'Annahmen'!AE212</f>
      </c>
      <c r="AH27" s="60">
        <f>-'Annahmen'!AF212</f>
      </c>
      <c r="AI27" s="60">
        <f>-'Annahmen'!AG212</f>
      </c>
      <c r="AJ27" s="60">
        <f>-'Annahmen'!AH212</f>
      </c>
      <c r="AK27" s="60">
        <f>-'Annahmen'!AI212</f>
      </c>
      <c r="AL27" s="60">
        <f>-'Annahmen'!AJ212</f>
      </c>
      <c r="AM27" s="60">
        <f>-'Annahmen'!AK212</f>
      </c>
      <c r="AN27" s="60">
        <f>-'Annahmen'!AL212</f>
      </c>
      <c r="AO27" s="60">
        <f>-'Annahmen'!AM212</f>
      </c>
      <c r="AP27" s="60">
        <f>-'Annahmen'!AN212</f>
      </c>
      <c r="AQ27" s="60">
        <f>-'Annahmen'!AO212</f>
      </c>
      <c r="AR27" s="61">
        <f>SUM(AF27:AQ27)</f>
      </c>
    </row>
    <row r="28" spans="2:44" x14ac:dyDescent="0.25">
      <c r="B28" s="58" t="s">
        <v>327</v>
      </c>
      <c r="C28" s="59">
        <v>-77267</v>
      </c>
      <c r="D28" s="59">
        <v>-96912</v>
      </c>
      <c r="E28" s="59">
        <v>-119175</v>
      </c>
      <c r="F28" s="60">
        <f>-'Annahmen'!D213</f>
      </c>
      <c r="G28" s="60">
        <f>-'Annahmen'!E213</f>
      </c>
      <c r="H28" s="60">
        <f>-'Annahmen'!F213</f>
      </c>
      <c r="I28" s="60">
        <f>-'Annahmen'!G213</f>
      </c>
      <c r="J28" s="60">
        <f>-'Annahmen'!H213</f>
      </c>
      <c r="K28" s="60">
        <f>-'Annahmen'!I213</f>
      </c>
      <c r="L28" s="60">
        <f>-'Annahmen'!J213</f>
      </c>
      <c r="M28" s="60">
        <f>-'Annahmen'!K213</f>
      </c>
      <c r="N28" s="60">
        <f>-'Annahmen'!L213</f>
      </c>
      <c r="O28" s="60">
        <f>-'Annahmen'!M213</f>
      </c>
      <c r="P28" s="60">
        <f>-'Annahmen'!N213</f>
      </c>
      <c r="Q28" s="60">
        <f>-'Annahmen'!O213</f>
      </c>
      <c r="R28" s="61">
        <f>SUM(F28:Q28)</f>
      </c>
      <c r="S28" s="60">
        <f>-'Annahmen'!Q213</f>
      </c>
      <c r="T28" s="60">
        <f>-'Annahmen'!R213</f>
      </c>
      <c r="U28" s="60">
        <f>-'Annahmen'!S213</f>
      </c>
      <c r="V28" s="60">
        <f>-'Annahmen'!T213</f>
      </c>
      <c r="W28" s="60">
        <f>-'Annahmen'!U213</f>
      </c>
      <c r="X28" s="60">
        <f>-'Annahmen'!V213</f>
      </c>
      <c r="Y28" s="60">
        <f>-'Annahmen'!W213</f>
      </c>
      <c r="Z28" s="60">
        <f>-'Annahmen'!X213</f>
      </c>
      <c r="AA28" s="60">
        <f>-'Annahmen'!Y213</f>
      </c>
      <c r="AB28" s="60">
        <f>-'Annahmen'!Z213</f>
      </c>
      <c r="AC28" s="60">
        <f>-'Annahmen'!AA213</f>
      </c>
      <c r="AD28" s="60">
        <f>-'Annahmen'!AB213</f>
      </c>
      <c r="AE28" s="61">
        <f>SUM(S28:AD28)</f>
      </c>
      <c r="AF28" s="60">
        <f>-'Annahmen'!AD213</f>
      </c>
      <c r="AG28" s="60">
        <f>-'Annahmen'!AE213</f>
      </c>
      <c r="AH28" s="60">
        <f>-'Annahmen'!AF213</f>
      </c>
      <c r="AI28" s="60">
        <f>-'Annahmen'!AG213</f>
      </c>
      <c r="AJ28" s="60">
        <f>-'Annahmen'!AH213</f>
      </c>
      <c r="AK28" s="60">
        <f>-'Annahmen'!AI213</f>
      </c>
      <c r="AL28" s="60">
        <f>-'Annahmen'!AJ213</f>
      </c>
      <c r="AM28" s="60">
        <f>-'Annahmen'!AK213</f>
      </c>
      <c r="AN28" s="60">
        <f>-'Annahmen'!AL213</f>
      </c>
      <c r="AO28" s="60">
        <f>-'Annahmen'!AM213</f>
      </c>
      <c r="AP28" s="60">
        <f>-'Annahmen'!AN213</f>
      </c>
      <c r="AQ28" s="60">
        <f>-'Annahmen'!AO213</f>
      </c>
      <c r="AR28" s="61">
        <f>SUM(AF28:AQ28)</f>
      </c>
    </row>
    <row r="29" spans="2:44" x14ac:dyDescent="0.25">
      <c r="B29" s="58" t="s">
        <v>328</v>
      </c>
      <c r="C29" s="59">
        <v>-140904</v>
      </c>
      <c r="D29" s="59">
        <v>-176728</v>
      </c>
      <c r="E29" s="59">
        <v>-217327</v>
      </c>
      <c r="F29" s="60">
        <f>-'Annahmen'!D214</f>
      </c>
      <c r="G29" s="60">
        <f>-'Annahmen'!E214</f>
      </c>
      <c r="H29" s="60">
        <f>-'Annahmen'!F214</f>
      </c>
      <c r="I29" s="60">
        <f>-'Annahmen'!G214</f>
      </c>
      <c r="J29" s="60">
        <f>-'Annahmen'!H214</f>
      </c>
      <c r="K29" s="60">
        <f>-'Annahmen'!I214</f>
      </c>
      <c r="L29" s="60">
        <f>-'Annahmen'!J214</f>
      </c>
      <c r="M29" s="60">
        <f>-'Annahmen'!K214</f>
      </c>
      <c r="N29" s="60">
        <f>-'Annahmen'!L214</f>
      </c>
      <c r="O29" s="60">
        <f>-'Annahmen'!M214</f>
      </c>
      <c r="P29" s="60">
        <f>-'Annahmen'!N214</f>
      </c>
      <c r="Q29" s="60">
        <f>-'Annahmen'!O214</f>
      </c>
      <c r="R29" s="61">
        <f>SUM(F29:Q29)</f>
      </c>
      <c r="S29" s="60">
        <f>-'Annahmen'!Q214</f>
      </c>
      <c r="T29" s="60">
        <f>-'Annahmen'!R214</f>
      </c>
      <c r="U29" s="60">
        <f>-'Annahmen'!S214</f>
      </c>
      <c r="V29" s="60">
        <f>-'Annahmen'!T214</f>
      </c>
      <c r="W29" s="60">
        <f>-'Annahmen'!U214</f>
      </c>
      <c r="X29" s="60">
        <f>-'Annahmen'!V214</f>
      </c>
      <c r="Y29" s="60">
        <f>-'Annahmen'!W214</f>
      </c>
      <c r="Z29" s="60">
        <f>-'Annahmen'!X214</f>
      </c>
      <c r="AA29" s="60">
        <f>-'Annahmen'!Y214</f>
      </c>
      <c r="AB29" s="60">
        <f>-'Annahmen'!Z214</f>
      </c>
      <c r="AC29" s="60">
        <f>-'Annahmen'!AA214</f>
      </c>
      <c r="AD29" s="60">
        <f>-'Annahmen'!AB214</f>
      </c>
      <c r="AE29" s="61">
        <f>SUM(S29:AD29)</f>
      </c>
      <c r="AF29" s="60">
        <f>-'Annahmen'!AD214</f>
      </c>
      <c r="AG29" s="60">
        <f>-'Annahmen'!AE214</f>
      </c>
      <c r="AH29" s="60">
        <f>-'Annahmen'!AF214</f>
      </c>
      <c r="AI29" s="60">
        <f>-'Annahmen'!AG214</f>
      </c>
      <c r="AJ29" s="60">
        <f>-'Annahmen'!AH214</f>
      </c>
      <c r="AK29" s="60">
        <f>-'Annahmen'!AI214</f>
      </c>
      <c r="AL29" s="60">
        <f>-'Annahmen'!AJ214</f>
      </c>
      <c r="AM29" s="60">
        <f>-'Annahmen'!AK214</f>
      </c>
      <c r="AN29" s="60">
        <f>-'Annahmen'!AL214</f>
      </c>
      <c r="AO29" s="60">
        <f>-'Annahmen'!AM214</f>
      </c>
      <c r="AP29" s="60">
        <f>-'Annahmen'!AN214</f>
      </c>
      <c r="AQ29" s="60">
        <f>-'Annahmen'!AO214</f>
      </c>
      <c r="AR29" s="61">
        <f>SUM(AF29:AQ29)</f>
      </c>
    </row>
    <row r="30" spans="2:44" x14ac:dyDescent="0.25">
      <c r="B30" s="58" t="s">
        <v>329</v>
      </c>
      <c r="C30" s="59">
        <v>-81814</v>
      </c>
      <c r="D30" s="59">
        <v>-102615</v>
      </c>
      <c r="E30" s="59">
        <v>-126188</v>
      </c>
      <c r="F30" s="60">
        <f>-'Annahmen'!D215</f>
      </c>
      <c r="G30" s="60">
        <f>-'Annahmen'!E215</f>
      </c>
      <c r="H30" s="60">
        <f>-'Annahmen'!F215</f>
      </c>
      <c r="I30" s="60">
        <f>-'Annahmen'!G215</f>
      </c>
      <c r="J30" s="60">
        <f>-'Annahmen'!H215</f>
      </c>
      <c r="K30" s="60">
        <f>-'Annahmen'!I215</f>
      </c>
      <c r="L30" s="60">
        <f>-'Annahmen'!J215</f>
      </c>
      <c r="M30" s="60">
        <f>-'Annahmen'!K215</f>
      </c>
      <c r="N30" s="60">
        <f>-'Annahmen'!L215</f>
      </c>
      <c r="O30" s="60">
        <f>-'Annahmen'!M215</f>
      </c>
      <c r="P30" s="60">
        <f>-'Annahmen'!N215</f>
      </c>
      <c r="Q30" s="60">
        <f>-'Annahmen'!O215</f>
      </c>
      <c r="R30" s="61">
        <f>SUM(F30:Q30)</f>
      </c>
      <c r="S30" s="60">
        <f>-'Annahmen'!Q215</f>
      </c>
      <c r="T30" s="60">
        <f>-'Annahmen'!R215</f>
      </c>
      <c r="U30" s="60">
        <f>-'Annahmen'!S215</f>
      </c>
      <c r="V30" s="60">
        <f>-'Annahmen'!T215</f>
      </c>
      <c r="W30" s="60">
        <f>-'Annahmen'!U215</f>
      </c>
      <c r="X30" s="60">
        <f>-'Annahmen'!V215</f>
      </c>
      <c r="Y30" s="60">
        <f>-'Annahmen'!W215</f>
      </c>
      <c r="Z30" s="60">
        <f>-'Annahmen'!X215</f>
      </c>
      <c r="AA30" s="60">
        <f>-'Annahmen'!Y215</f>
      </c>
      <c r="AB30" s="60">
        <f>-'Annahmen'!Z215</f>
      </c>
      <c r="AC30" s="60">
        <f>-'Annahmen'!AA215</f>
      </c>
      <c r="AD30" s="60">
        <f>-'Annahmen'!AB215</f>
      </c>
      <c r="AE30" s="61">
        <f>SUM(S30:AD30)</f>
      </c>
      <c r="AF30" s="60">
        <f>-'Annahmen'!AD215</f>
      </c>
      <c r="AG30" s="60">
        <f>-'Annahmen'!AE215</f>
      </c>
      <c r="AH30" s="60">
        <f>-'Annahmen'!AF215</f>
      </c>
      <c r="AI30" s="60">
        <f>-'Annahmen'!AG215</f>
      </c>
      <c r="AJ30" s="60">
        <f>-'Annahmen'!AH215</f>
      </c>
      <c r="AK30" s="60">
        <f>-'Annahmen'!AI215</f>
      </c>
      <c r="AL30" s="60">
        <f>-'Annahmen'!AJ215</f>
      </c>
      <c r="AM30" s="60">
        <f>-'Annahmen'!AK215</f>
      </c>
      <c r="AN30" s="60">
        <f>-'Annahmen'!AL215</f>
      </c>
      <c r="AO30" s="60">
        <f>-'Annahmen'!AM215</f>
      </c>
      <c r="AP30" s="60">
        <f>-'Annahmen'!AN215</f>
      </c>
      <c r="AQ30" s="60">
        <f>-'Annahmen'!AO215</f>
      </c>
      <c r="AR30" s="61">
        <f>SUM(AF30:AQ30)</f>
      </c>
    </row>
    <row r="31" spans="2:44" x14ac:dyDescent="0.25">
      <c r="B31" s="58" t="s">
        <v>330</v>
      </c>
      <c r="C31" s="59">
        <v>-59090</v>
      </c>
      <c r="D31" s="59">
        <v>-74113</v>
      </c>
      <c r="E31" s="59">
        <v>-91139</v>
      </c>
      <c r="F31" s="60">
        <f>-'Annahmen'!D216</f>
      </c>
      <c r="G31" s="60">
        <f>-'Annahmen'!E216</f>
      </c>
      <c r="H31" s="60">
        <f>-'Annahmen'!F216</f>
      </c>
      <c r="I31" s="60">
        <f>-'Annahmen'!G216</f>
      </c>
      <c r="J31" s="60">
        <f>-'Annahmen'!H216</f>
      </c>
      <c r="K31" s="60">
        <f>-'Annahmen'!I216</f>
      </c>
      <c r="L31" s="60">
        <f>-'Annahmen'!J216</f>
      </c>
      <c r="M31" s="60">
        <f>-'Annahmen'!K216</f>
      </c>
      <c r="N31" s="60">
        <f>-'Annahmen'!L216</f>
      </c>
      <c r="O31" s="60">
        <f>-'Annahmen'!M216</f>
      </c>
      <c r="P31" s="60">
        <f>-'Annahmen'!N216</f>
      </c>
      <c r="Q31" s="60">
        <f>-'Annahmen'!O216</f>
      </c>
      <c r="R31" s="61">
        <f>SUM(F31:Q31)</f>
      </c>
      <c r="S31" s="60">
        <f>-'Annahmen'!Q216</f>
      </c>
      <c r="T31" s="60">
        <f>-'Annahmen'!R216</f>
      </c>
      <c r="U31" s="60">
        <f>-'Annahmen'!S216</f>
      </c>
      <c r="V31" s="60">
        <f>-'Annahmen'!T216</f>
      </c>
      <c r="W31" s="60">
        <f>-'Annahmen'!U216</f>
      </c>
      <c r="X31" s="60">
        <f>-'Annahmen'!V216</f>
      </c>
      <c r="Y31" s="60">
        <f>-'Annahmen'!W216</f>
      </c>
      <c r="Z31" s="60">
        <f>-'Annahmen'!X216</f>
      </c>
      <c r="AA31" s="60">
        <f>-'Annahmen'!Y216</f>
      </c>
      <c r="AB31" s="60">
        <f>-'Annahmen'!Z216</f>
      </c>
      <c r="AC31" s="60">
        <f>-'Annahmen'!AA216</f>
      </c>
      <c r="AD31" s="60">
        <f>-'Annahmen'!AB216</f>
      </c>
      <c r="AE31" s="61">
        <f>SUM(S31:AD31)</f>
      </c>
      <c r="AF31" s="60">
        <f>-'Annahmen'!AD216</f>
      </c>
      <c r="AG31" s="60">
        <f>-'Annahmen'!AE216</f>
      </c>
      <c r="AH31" s="60">
        <f>-'Annahmen'!AF216</f>
      </c>
      <c r="AI31" s="60">
        <f>-'Annahmen'!AG216</f>
      </c>
      <c r="AJ31" s="60">
        <f>-'Annahmen'!AH216</f>
      </c>
      <c r="AK31" s="60">
        <f>-'Annahmen'!AI216</f>
      </c>
      <c r="AL31" s="60">
        <f>-'Annahmen'!AJ216</f>
      </c>
      <c r="AM31" s="60">
        <f>-'Annahmen'!AK216</f>
      </c>
      <c r="AN31" s="60">
        <f>-'Annahmen'!AL216</f>
      </c>
      <c r="AO31" s="60">
        <f>-'Annahmen'!AM216</f>
      </c>
      <c r="AP31" s="60">
        <f>-'Annahmen'!AN216</f>
      </c>
      <c r="AQ31" s="60">
        <f>-'Annahmen'!AO216</f>
      </c>
      <c r="AR31" s="61">
        <f>SUM(AF31:AQ31)</f>
      </c>
    </row>
    <row r="32" spans="3:44" x14ac:dyDescent="0.25">
      <c r="C32" s="65"/>
      <c r="D32" s="65"/>
      <c r="E32" s="65"/>
      <c r="R32" s="65"/>
      <c r="AE32" s="65"/>
      <c r="AR32" s="65"/>
    </row>
    <row r="33" spans="2:44" x14ac:dyDescent="0.25">
      <c r="B33" s="29" t="s">
        <v>331</v>
      </c>
      <c r="C33" s="55">
        <v>-340000</v>
      </c>
      <c r="D33" s="55">
        <v>-405000</v>
      </c>
      <c r="E33" s="55">
        <v>-480000</v>
      </c>
      <c r="F33" s="56">
        <f>F34+F35+F36+F37+F38+F39+F40+F41+F42+F43+F44+F45+F46+F47+F48+F49+F50+F51</f>
      </c>
      <c r="G33" s="56">
        <f>G34+G35+G36+G37+G38+G39+G40+G41+G42+G43+G44+G45+G46+G47+G48+G49+G50+G51</f>
      </c>
      <c r="H33" s="56">
        <f>H34+H35+H36+H37+H38+H39+H40+H41+H42+H43+H44+H45+H46+H47+H48+H49+H50+H51</f>
      </c>
      <c r="I33" s="56">
        <f>I34+I35+I36+I37+I38+I39+I40+I41+I42+I43+I44+I45+I46+I47+I48+I49+I50+I51</f>
      </c>
      <c r="J33" s="56">
        <f>J34+J35+J36+J37+J38+J39+J40+J41+J42+J43+J44+J45+J46+J47+J48+J49+J50+J51</f>
      </c>
      <c r="K33" s="56">
        <f>K34+K35+K36+K37+K38+K39+K40+K41+K42+K43+K44+K45+K46+K47+K48+K49+K50+K51</f>
      </c>
      <c r="L33" s="56">
        <f>L34+L35+L36+L37+L38+L39+L40+L41+L42+L43+L44+L45+L46+L47+L48+L49+L50+L51</f>
      </c>
      <c r="M33" s="56">
        <f>M34+M35+M36+M37+M38+M39+M40+M41+M42+M43+M44+M45+M46+M47+M48+M49+M50+M51</f>
      </c>
      <c r="N33" s="56">
        <f>N34+N35+N36+N37+N38+N39+N40+N41+N42+N43+N44+N45+N46+N47+N48+N49+N50+N51</f>
      </c>
      <c r="O33" s="56">
        <f>O34+O35+O36+O37+O38+O39+O40+O41+O42+O43+O44+O45+O46+O47+O48+O49+O50+O51</f>
      </c>
      <c r="P33" s="56">
        <f>P34+P35+P36+P37+P38+P39+P40+P41+P42+P43+P44+P45+P46+P47+P48+P49+P50+P51</f>
      </c>
      <c r="Q33" s="56">
        <f>Q34+Q35+Q36+Q37+Q38+Q39+Q40+Q41+Q42+Q43+Q44+Q45+Q46+Q47+Q48+Q49+Q50+Q51</f>
      </c>
      <c r="R33" s="57">
        <f>SUM(F33:Q33)</f>
      </c>
      <c r="S33" s="56">
        <f>S34+S35+S36+S37+S38+S39+S40+S41+S42+S43+S44+S45+S46+S47+S48+S49+S50+S51</f>
      </c>
      <c r="T33" s="56">
        <f>T34+T35+T36+T37+T38+T39+T40+T41+T42+T43+T44+T45+T46+T47+T48+T49+T50+T51</f>
      </c>
      <c r="U33" s="56">
        <f>U34+U35+U36+U37+U38+U39+U40+U41+U42+U43+U44+U45+U46+U47+U48+U49+U50+U51</f>
      </c>
      <c r="V33" s="56">
        <f>V34+V35+V36+V37+V38+V39+V40+V41+V42+V43+V44+V45+V46+V47+V48+V49+V50+V51</f>
      </c>
      <c r="W33" s="56">
        <f>W34+W35+W36+W37+W38+W39+W40+W41+W42+W43+W44+W45+W46+W47+W48+W49+W50+W51</f>
      </c>
      <c r="X33" s="56">
        <f>X34+X35+X36+X37+X38+X39+X40+X41+X42+X43+X44+X45+X46+X47+X48+X49+X50+X51</f>
      </c>
      <c r="Y33" s="56">
        <f>Y34+Y35+Y36+Y37+Y38+Y39+Y40+Y41+Y42+Y43+Y44+Y45+Y46+Y47+Y48+Y49+Y50+Y51</f>
      </c>
      <c r="Z33" s="56">
        <f>Z34+Z35+Z36+Z37+Z38+Z39+Z40+Z41+Z42+Z43+Z44+Z45+Z46+Z47+Z48+Z49+Z50+Z51</f>
      </c>
      <c r="AA33" s="56">
        <f>AA34+AA35+AA36+AA37+AA38+AA39+AA40+AA41+AA42+AA43+AA44+AA45+AA46+AA47+AA48+AA49+AA50+AA51</f>
      </c>
      <c r="AB33" s="56">
        <f>AB34+AB35+AB36+AB37+AB38+AB39+AB40+AB41+AB42+AB43+AB44+AB45+AB46+AB47+AB48+AB49+AB50+AB51</f>
      </c>
      <c r="AC33" s="56">
        <f>AC34+AC35+AC36+AC37+AC38+AC39+AC40+AC41+AC42+AC43+AC44+AC45+AC46+AC47+AC48+AC49+AC50+AC51</f>
      </c>
      <c r="AD33" s="56">
        <f>AD34+AD35+AD36+AD37+AD38+AD39+AD40+AD41+AD42+AD43+AD44+AD45+AD46+AD47+AD48+AD49+AD50+AD51</f>
      </c>
      <c r="AE33" s="57">
        <f>SUM(S33:AD33)</f>
      </c>
      <c r="AF33" s="56">
        <f>AF34+AF35+AF36+AF37+AF38+AF39+AF40+AF41+AF42+AF43+AF44+AF45+AF46+AF47+AF48+AF49+AF50+AF51</f>
      </c>
      <c r="AG33" s="56">
        <f>AG34+AG35+AG36+AG37+AG38+AG39+AG40+AG41+AG42+AG43+AG44+AG45+AG46+AG47+AG48+AG49+AG50+AG51</f>
      </c>
      <c r="AH33" s="56">
        <f>AH34+AH35+AH36+AH37+AH38+AH39+AH40+AH41+AH42+AH43+AH44+AH45+AH46+AH47+AH48+AH49+AH50+AH51</f>
      </c>
      <c r="AI33" s="56">
        <f>AI34+AI35+AI36+AI37+AI38+AI39+AI40+AI41+AI42+AI43+AI44+AI45+AI46+AI47+AI48+AI49+AI50+AI51</f>
      </c>
      <c r="AJ33" s="56">
        <f>AJ34+AJ35+AJ36+AJ37+AJ38+AJ39+AJ40+AJ41+AJ42+AJ43+AJ44+AJ45+AJ46+AJ47+AJ48+AJ49+AJ50+AJ51</f>
      </c>
      <c r="AK33" s="56">
        <f>AK34+AK35+AK36+AK37+AK38+AK39+AK40+AK41+AK42+AK43+AK44+AK45+AK46+AK47+AK48+AK49+AK50+AK51</f>
      </c>
      <c r="AL33" s="56">
        <f>AL34+AL35+AL36+AL37+AL38+AL39+AL40+AL41+AL42+AL43+AL44+AL45+AL46+AL47+AL48+AL49+AL50+AL51</f>
      </c>
      <c r="AM33" s="56">
        <f>AM34+AM35+AM36+AM37+AM38+AM39+AM40+AM41+AM42+AM43+AM44+AM45+AM46+AM47+AM48+AM49+AM50+AM51</f>
      </c>
      <c r="AN33" s="56">
        <f>AN34+AN35+AN36+AN37+AN38+AN39+AN40+AN41+AN42+AN43+AN44+AN45+AN46+AN47+AN48+AN49+AN50+AN51</f>
      </c>
      <c r="AO33" s="56">
        <f>AO34+AO35+AO36+AO37+AO38+AO39+AO40+AO41+AO42+AO43+AO44+AO45+AO46+AO47+AO48+AO49+AO50+AO51</f>
      </c>
      <c r="AP33" s="56">
        <f>AP34+AP35+AP36+AP37+AP38+AP39+AP40+AP41+AP42+AP43+AP44+AP45+AP46+AP47+AP48+AP49+AP50+AP51</f>
      </c>
      <c r="AQ33" s="56">
        <f>AQ34+AQ35+AQ36+AQ37+AQ38+AQ39+AQ40+AQ41+AQ42+AQ43+AQ44+AQ45+AQ46+AQ47+AQ48+AQ49+AQ50+AQ51</f>
      </c>
      <c r="AR33" s="57">
        <f>SUM(AF33:AQ33)</f>
      </c>
    </row>
    <row r="34" spans="2:44" x14ac:dyDescent="0.25">
      <c r="B34" s="19" t="s">
        <v>332</v>
      </c>
      <c r="C34" s="59">
        <v>-38075</v>
      </c>
      <c r="D34" s="59">
        <v>-45355</v>
      </c>
      <c r="E34" s="59">
        <v>-53754</v>
      </c>
      <c r="F34" s="60">
        <f>-'Annahmen'!D221</f>
      </c>
      <c r="G34" s="60">
        <f>-'Annahmen'!E221</f>
      </c>
      <c r="H34" s="60">
        <f>-'Annahmen'!F221</f>
      </c>
      <c r="I34" s="60">
        <f>-'Annahmen'!G221</f>
      </c>
      <c r="J34" s="60">
        <f>-'Annahmen'!H221</f>
      </c>
      <c r="K34" s="60">
        <f>-'Annahmen'!I221</f>
      </c>
      <c r="L34" s="60">
        <f>-'Annahmen'!J221</f>
      </c>
      <c r="M34" s="60">
        <f>-'Annahmen'!K221</f>
      </c>
      <c r="N34" s="60">
        <f>-'Annahmen'!L221</f>
      </c>
      <c r="O34" s="60">
        <f>-'Annahmen'!M221</f>
      </c>
      <c r="P34" s="60">
        <f>-'Annahmen'!N221</f>
      </c>
      <c r="Q34" s="60">
        <f>-'Annahmen'!O221</f>
      </c>
      <c r="R34" s="61">
        <f>SUM(F34:Q34)</f>
      </c>
      <c r="S34" s="60">
        <f>-'Annahmen'!Q221</f>
      </c>
      <c r="T34" s="60">
        <f>-'Annahmen'!R221</f>
      </c>
      <c r="U34" s="60">
        <f>-'Annahmen'!S221</f>
      </c>
      <c r="V34" s="60">
        <f>-'Annahmen'!T221</f>
      </c>
      <c r="W34" s="60">
        <f>-'Annahmen'!U221</f>
      </c>
      <c r="X34" s="60">
        <f>-'Annahmen'!V221</f>
      </c>
      <c r="Y34" s="60">
        <f>-'Annahmen'!W221</f>
      </c>
      <c r="Z34" s="60">
        <f>-'Annahmen'!X221</f>
      </c>
      <c r="AA34" s="60">
        <f>-'Annahmen'!Y221</f>
      </c>
      <c r="AB34" s="60">
        <f>-'Annahmen'!Z221</f>
      </c>
      <c r="AC34" s="60">
        <f>-'Annahmen'!AA221</f>
      </c>
      <c r="AD34" s="60">
        <f>-'Annahmen'!AB221</f>
      </c>
      <c r="AE34" s="61">
        <f>SUM(S34:AD34)</f>
      </c>
      <c r="AF34" s="60">
        <f>-'Annahmen'!AD221</f>
      </c>
      <c r="AG34" s="60">
        <f>-'Annahmen'!AE221</f>
      </c>
      <c r="AH34" s="60">
        <f>-'Annahmen'!AF221</f>
      </c>
      <c r="AI34" s="60">
        <f>-'Annahmen'!AG221</f>
      </c>
      <c r="AJ34" s="60">
        <f>-'Annahmen'!AH221</f>
      </c>
      <c r="AK34" s="60">
        <f>-'Annahmen'!AI221</f>
      </c>
      <c r="AL34" s="60">
        <f>-'Annahmen'!AJ221</f>
      </c>
      <c r="AM34" s="60">
        <f>-'Annahmen'!AK221</f>
      </c>
      <c r="AN34" s="60">
        <f>-'Annahmen'!AL221</f>
      </c>
      <c r="AO34" s="60">
        <f>-'Annahmen'!AM221</f>
      </c>
      <c r="AP34" s="60">
        <f>-'Annahmen'!AN221</f>
      </c>
      <c r="AQ34" s="60">
        <f>-'Annahmen'!AO221</f>
      </c>
      <c r="AR34" s="61">
        <f>SUM(AF34:AQ34)</f>
      </c>
    </row>
    <row r="35" spans="2:44" x14ac:dyDescent="0.25">
      <c r="B35" s="19" t="s">
        <v>333</v>
      </c>
      <c r="C35" s="59">
        <v>-50767</v>
      </c>
      <c r="D35" s="59">
        <v>-60473</v>
      </c>
      <c r="E35" s="59">
        <v>-71672</v>
      </c>
      <c r="F35" s="60">
        <f>-'Annahmen'!D222</f>
      </c>
      <c r="G35" s="60">
        <f>-'Annahmen'!E222</f>
      </c>
      <c r="H35" s="60">
        <f>-'Annahmen'!F222</f>
      </c>
      <c r="I35" s="60">
        <f>-'Annahmen'!G222</f>
      </c>
      <c r="J35" s="60">
        <f>-'Annahmen'!H222</f>
      </c>
      <c r="K35" s="60">
        <f>-'Annahmen'!I222</f>
      </c>
      <c r="L35" s="60">
        <f>-'Annahmen'!J222</f>
      </c>
      <c r="M35" s="60">
        <f>-'Annahmen'!K222</f>
      </c>
      <c r="N35" s="60">
        <f>-'Annahmen'!L222</f>
      </c>
      <c r="O35" s="60">
        <f>-'Annahmen'!M222</f>
      </c>
      <c r="P35" s="60">
        <f>-'Annahmen'!N222</f>
      </c>
      <c r="Q35" s="60">
        <f>-'Annahmen'!O222</f>
      </c>
      <c r="R35" s="61">
        <f>SUM(F35:Q35)</f>
      </c>
      <c r="S35" s="60">
        <f>-'Annahmen'!Q222</f>
      </c>
      <c r="T35" s="60">
        <f>-'Annahmen'!R222</f>
      </c>
      <c r="U35" s="60">
        <f>-'Annahmen'!S222</f>
      </c>
      <c r="V35" s="60">
        <f>-'Annahmen'!T222</f>
      </c>
      <c r="W35" s="60">
        <f>-'Annahmen'!U222</f>
      </c>
      <c r="X35" s="60">
        <f>-'Annahmen'!V222</f>
      </c>
      <c r="Y35" s="60">
        <f>-'Annahmen'!W222</f>
      </c>
      <c r="Z35" s="60">
        <f>-'Annahmen'!X222</f>
      </c>
      <c r="AA35" s="60">
        <f>-'Annahmen'!Y222</f>
      </c>
      <c r="AB35" s="60">
        <f>-'Annahmen'!Z222</f>
      </c>
      <c r="AC35" s="60">
        <f>-'Annahmen'!AA222</f>
      </c>
      <c r="AD35" s="60">
        <f>-'Annahmen'!AB222</f>
      </c>
      <c r="AE35" s="61">
        <f>SUM(S35:AD35)</f>
      </c>
      <c r="AF35" s="60">
        <f>-'Annahmen'!AD222</f>
      </c>
      <c r="AG35" s="60">
        <f>-'Annahmen'!AE222</f>
      </c>
      <c r="AH35" s="60">
        <f>-'Annahmen'!AF222</f>
      </c>
      <c r="AI35" s="60">
        <f>-'Annahmen'!AG222</f>
      </c>
      <c r="AJ35" s="60">
        <f>-'Annahmen'!AH222</f>
      </c>
      <c r="AK35" s="60">
        <f>-'Annahmen'!AI222</f>
      </c>
      <c r="AL35" s="60">
        <f>-'Annahmen'!AJ222</f>
      </c>
      <c r="AM35" s="60">
        <f>-'Annahmen'!AK222</f>
      </c>
      <c r="AN35" s="60">
        <f>-'Annahmen'!AL222</f>
      </c>
      <c r="AO35" s="60">
        <f>-'Annahmen'!AM222</f>
      </c>
      <c r="AP35" s="60">
        <f>-'Annahmen'!AN222</f>
      </c>
      <c r="AQ35" s="60">
        <f>-'Annahmen'!AO222</f>
      </c>
      <c r="AR35" s="61">
        <f>SUM(AF35:AQ35)</f>
      </c>
    </row>
    <row r="36" spans="2:44" x14ac:dyDescent="0.25">
      <c r="B36" s="19" t="s">
        <v>334</v>
      </c>
      <c r="C36" s="59">
        <v>-25384</v>
      </c>
      <c r="D36" s="59">
        <v>-30236</v>
      </c>
      <c r="E36" s="59">
        <v>-35836</v>
      </c>
      <c r="F36" s="60">
        <f>-'Annahmen'!D223</f>
      </c>
      <c r="G36" s="60">
        <f>-'Annahmen'!E223</f>
      </c>
      <c r="H36" s="60">
        <f>-'Annahmen'!F223</f>
      </c>
      <c r="I36" s="60">
        <f>-'Annahmen'!G223</f>
      </c>
      <c r="J36" s="60">
        <f>-'Annahmen'!H223</f>
      </c>
      <c r="K36" s="60">
        <f>-'Annahmen'!I223</f>
      </c>
      <c r="L36" s="60">
        <f>-'Annahmen'!J223</f>
      </c>
      <c r="M36" s="60">
        <f>-'Annahmen'!K223</f>
      </c>
      <c r="N36" s="60">
        <f>-'Annahmen'!L223</f>
      </c>
      <c r="O36" s="60">
        <f>-'Annahmen'!M223</f>
      </c>
      <c r="P36" s="60">
        <f>-'Annahmen'!N223</f>
      </c>
      <c r="Q36" s="60">
        <f>-'Annahmen'!O223</f>
      </c>
      <c r="R36" s="61">
        <f>SUM(F36:Q36)</f>
      </c>
      <c r="S36" s="60">
        <f>-'Annahmen'!Q223</f>
      </c>
      <c r="T36" s="60">
        <f>-'Annahmen'!R223</f>
      </c>
      <c r="U36" s="60">
        <f>-'Annahmen'!S223</f>
      </c>
      <c r="V36" s="60">
        <f>-'Annahmen'!T223</f>
      </c>
      <c r="W36" s="60">
        <f>-'Annahmen'!U223</f>
      </c>
      <c r="X36" s="60">
        <f>-'Annahmen'!V223</f>
      </c>
      <c r="Y36" s="60">
        <f>-'Annahmen'!W223</f>
      </c>
      <c r="Z36" s="60">
        <f>-'Annahmen'!X223</f>
      </c>
      <c r="AA36" s="60">
        <f>-'Annahmen'!Y223</f>
      </c>
      <c r="AB36" s="60">
        <f>-'Annahmen'!Z223</f>
      </c>
      <c r="AC36" s="60">
        <f>-'Annahmen'!AA223</f>
      </c>
      <c r="AD36" s="60">
        <f>-'Annahmen'!AB223</f>
      </c>
      <c r="AE36" s="61">
        <f>SUM(S36:AD36)</f>
      </c>
      <c r="AF36" s="60">
        <f>-'Annahmen'!AD223</f>
      </c>
      <c r="AG36" s="60">
        <f>-'Annahmen'!AE223</f>
      </c>
      <c r="AH36" s="60">
        <f>-'Annahmen'!AF223</f>
      </c>
      <c r="AI36" s="60">
        <f>-'Annahmen'!AG223</f>
      </c>
      <c r="AJ36" s="60">
        <f>-'Annahmen'!AH223</f>
      </c>
      <c r="AK36" s="60">
        <f>-'Annahmen'!AI223</f>
      </c>
      <c r="AL36" s="60">
        <f>-'Annahmen'!AJ223</f>
      </c>
      <c r="AM36" s="60">
        <f>-'Annahmen'!AK223</f>
      </c>
      <c r="AN36" s="60">
        <f>-'Annahmen'!AL223</f>
      </c>
      <c r="AO36" s="60">
        <f>-'Annahmen'!AM223</f>
      </c>
      <c r="AP36" s="60">
        <f>-'Annahmen'!AN223</f>
      </c>
      <c r="AQ36" s="60">
        <f>-'Annahmen'!AO223</f>
      </c>
      <c r="AR36" s="61">
        <f>SUM(AF36:AQ36)</f>
      </c>
    </row>
    <row r="37" spans="2:44" x14ac:dyDescent="0.25">
      <c r="B37" s="19" t="s">
        <v>335</v>
      </c>
      <c r="C37" s="59">
        <v>-8461</v>
      </c>
      <c r="D37" s="59">
        <v>-10079</v>
      </c>
      <c r="E37" s="59">
        <v>-11945</v>
      </c>
      <c r="F37" s="60">
        <f>-'Annahmen'!D224</f>
      </c>
      <c r="G37" s="60">
        <f>-'Annahmen'!E224</f>
      </c>
      <c r="H37" s="60">
        <f>-'Annahmen'!F224</f>
      </c>
      <c r="I37" s="60">
        <f>-'Annahmen'!G224</f>
      </c>
      <c r="J37" s="60">
        <f>-'Annahmen'!H224</f>
      </c>
      <c r="K37" s="60">
        <f>-'Annahmen'!I224</f>
      </c>
      <c r="L37" s="60">
        <f>-'Annahmen'!J224</f>
      </c>
      <c r="M37" s="60">
        <f>-'Annahmen'!K224</f>
      </c>
      <c r="N37" s="60">
        <f>-'Annahmen'!L224</f>
      </c>
      <c r="O37" s="60">
        <f>-'Annahmen'!M224</f>
      </c>
      <c r="P37" s="60">
        <f>-'Annahmen'!N224</f>
      </c>
      <c r="Q37" s="60">
        <f>-'Annahmen'!O224</f>
      </c>
      <c r="R37" s="61">
        <f>SUM(F37:Q37)</f>
      </c>
      <c r="S37" s="60">
        <f>-'Annahmen'!Q224</f>
      </c>
      <c r="T37" s="60">
        <f>-'Annahmen'!R224</f>
      </c>
      <c r="U37" s="60">
        <f>-'Annahmen'!S224</f>
      </c>
      <c r="V37" s="60">
        <f>-'Annahmen'!T224</f>
      </c>
      <c r="W37" s="60">
        <f>-'Annahmen'!U224</f>
      </c>
      <c r="X37" s="60">
        <f>-'Annahmen'!V224</f>
      </c>
      <c r="Y37" s="60">
        <f>-'Annahmen'!W224</f>
      </c>
      <c r="Z37" s="60">
        <f>-'Annahmen'!X224</f>
      </c>
      <c r="AA37" s="60">
        <f>-'Annahmen'!Y224</f>
      </c>
      <c r="AB37" s="60">
        <f>-'Annahmen'!Z224</f>
      </c>
      <c r="AC37" s="60">
        <f>-'Annahmen'!AA224</f>
      </c>
      <c r="AD37" s="60">
        <f>-'Annahmen'!AB224</f>
      </c>
      <c r="AE37" s="61">
        <f>SUM(S37:AD37)</f>
      </c>
      <c r="AF37" s="60">
        <f>-'Annahmen'!AD224</f>
      </c>
      <c r="AG37" s="60">
        <f>-'Annahmen'!AE224</f>
      </c>
      <c r="AH37" s="60">
        <f>-'Annahmen'!AF224</f>
      </c>
      <c r="AI37" s="60">
        <f>-'Annahmen'!AG224</f>
      </c>
      <c r="AJ37" s="60">
        <f>-'Annahmen'!AH224</f>
      </c>
      <c r="AK37" s="60">
        <f>-'Annahmen'!AI224</f>
      </c>
      <c r="AL37" s="60">
        <f>-'Annahmen'!AJ224</f>
      </c>
      <c r="AM37" s="60">
        <f>-'Annahmen'!AK224</f>
      </c>
      <c r="AN37" s="60">
        <f>-'Annahmen'!AL224</f>
      </c>
      <c r="AO37" s="60">
        <f>-'Annahmen'!AM224</f>
      </c>
      <c r="AP37" s="60">
        <f>-'Annahmen'!AN224</f>
      </c>
      <c r="AQ37" s="60">
        <f>-'Annahmen'!AO224</f>
      </c>
      <c r="AR37" s="61">
        <f>SUM(AF37:AQ37)</f>
      </c>
    </row>
    <row r="38" spans="2:44" x14ac:dyDescent="0.25">
      <c r="B38" s="19" t="s">
        <v>336</v>
      </c>
      <c r="C38" s="59">
        <v>-38922</v>
      </c>
      <c r="D38" s="59">
        <v>-46363</v>
      </c>
      <c r="E38" s="59">
        <v>-54948</v>
      </c>
      <c r="F38" s="60">
        <f>-'Annahmen'!D225</f>
      </c>
      <c r="G38" s="60">
        <f>-'Annahmen'!E225</f>
      </c>
      <c r="H38" s="60">
        <f>-'Annahmen'!F225</f>
      </c>
      <c r="I38" s="60">
        <f>-'Annahmen'!G225</f>
      </c>
      <c r="J38" s="60">
        <f>-'Annahmen'!H225</f>
      </c>
      <c r="K38" s="60">
        <f>-'Annahmen'!I225</f>
      </c>
      <c r="L38" s="60">
        <f>-'Annahmen'!J225</f>
      </c>
      <c r="M38" s="60">
        <f>-'Annahmen'!K225</f>
      </c>
      <c r="N38" s="60">
        <f>-'Annahmen'!L225</f>
      </c>
      <c r="O38" s="60">
        <f>-'Annahmen'!M225</f>
      </c>
      <c r="P38" s="60">
        <f>-'Annahmen'!N225</f>
      </c>
      <c r="Q38" s="60">
        <f>-'Annahmen'!O225</f>
      </c>
      <c r="R38" s="61">
        <f>SUM(F38:Q38)</f>
      </c>
      <c r="S38" s="60">
        <f>-'Annahmen'!Q225</f>
      </c>
      <c r="T38" s="60">
        <f>-'Annahmen'!R225</f>
      </c>
      <c r="U38" s="60">
        <f>-'Annahmen'!S225</f>
      </c>
      <c r="V38" s="60">
        <f>-'Annahmen'!T225</f>
      </c>
      <c r="W38" s="60">
        <f>-'Annahmen'!U225</f>
      </c>
      <c r="X38" s="60">
        <f>-'Annahmen'!V225</f>
      </c>
      <c r="Y38" s="60">
        <f>-'Annahmen'!W225</f>
      </c>
      <c r="Z38" s="60">
        <f>-'Annahmen'!X225</f>
      </c>
      <c r="AA38" s="60">
        <f>-'Annahmen'!Y225</f>
      </c>
      <c r="AB38" s="60">
        <f>-'Annahmen'!Z225</f>
      </c>
      <c r="AC38" s="60">
        <f>-'Annahmen'!AA225</f>
      </c>
      <c r="AD38" s="60">
        <f>-'Annahmen'!AB225</f>
      </c>
      <c r="AE38" s="61">
        <f>SUM(S38:AD38)</f>
      </c>
      <c r="AF38" s="60">
        <f>-'Annahmen'!AD225</f>
      </c>
      <c r="AG38" s="60">
        <f>-'Annahmen'!AE225</f>
      </c>
      <c r="AH38" s="60">
        <f>-'Annahmen'!AF225</f>
      </c>
      <c r="AI38" s="60">
        <f>-'Annahmen'!AG225</f>
      </c>
      <c r="AJ38" s="60">
        <f>-'Annahmen'!AH225</f>
      </c>
      <c r="AK38" s="60">
        <f>-'Annahmen'!AI225</f>
      </c>
      <c r="AL38" s="60">
        <f>-'Annahmen'!AJ225</f>
      </c>
      <c r="AM38" s="60">
        <f>-'Annahmen'!AK225</f>
      </c>
      <c r="AN38" s="60">
        <f>-'Annahmen'!AL225</f>
      </c>
      <c r="AO38" s="60">
        <f>-'Annahmen'!AM225</f>
      </c>
      <c r="AP38" s="60">
        <f>-'Annahmen'!AN225</f>
      </c>
      <c r="AQ38" s="60">
        <f>-'Annahmen'!AO225</f>
      </c>
      <c r="AR38" s="61">
        <f>SUM(AF38:AQ38)</f>
      </c>
    </row>
    <row r="39" spans="2:44" x14ac:dyDescent="0.25">
      <c r="B39" s="58" t="s">
        <v>337</v>
      </c>
      <c r="C39" s="59">
        <v>-12692</v>
      </c>
      <c r="D39" s="59">
        <v>-15118</v>
      </c>
      <c r="E39" s="59">
        <v>-17918</v>
      </c>
      <c r="F39" s="60">
        <f>-'Annahmen'!D250</f>
      </c>
      <c r="G39" s="60">
        <f>-'Annahmen'!E250</f>
      </c>
      <c r="H39" s="60">
        <f>-'Annahmen'!F250</f>
      </c>
      <c r="I39" s="60">
        <f>-'Annahmen'!G250</f>
      </c>
      <c r="J39" s="60">
        <f>-'Annahmen'!H250</f>
      </c>
      <c r="K39" s="60">
        <f>-'Annahmen'!I250</f>
      </c>
      <c r="L39" s="60">
        <f>-'Annahmen'!J250</f>
      </c>
      <c r="M39" s="60">
        <f>-'Annahmen'!K250</f>
      </c>
      <c r="N39" s="60">
        <f>-'Annahmen'!L250</f>
      </c>
      <c r="O39" s="60">
        <f>-'Annahmen'!M250</f>
      </c>
      <c r="P39" s="60">
        <f>-'Annahmen'!N250</f>
      </c>
      <c r="Q39" s="60">
        <f>-'Annahmen'!O250</f>
      </c>
      <c r="R39" s="61">
        <f>SUM(F39:Q39)</f>
      </c>
      <c r="S39" s="60">
        <f>-'Annahmen'!Q250</f>
      </c>
      <c r="T39" s="60">
        <f>-'Annahmen'!R250</f>
      </c>
      <c r="U39" s="60">
        <f>-'Annahmen'!S250</f>
      </c>
      <c r="V39" s="60">
        <f>-'Annahmen'!T250</f>
      </c>
      <c r="W39" s="60">
        <f>-'Annahmen'!U250</f>
      </c>
      <c r="X39" s="60">
        <f>-'Annahmen'!V250</f>
      </c>
      <c r="Y39" s="60">
        <f>-'Annahmen'!W250</f>
      </c>
      <c r="Z39" s="60">
        <f>-'Annahmen'!X250</f>
      </c>
      <c r="AA39" s="60">
        <f>-'Annahmen'!Y250</f>
      </c>
      <c r="AB39" s="60">
        <f>-'Annahmen'!Z250</f>
      </c>
      <c r="AC39" s="60">
        <f>-'Annahmen'!AA250</f>
      </c>
      <c r="AD39" s="60">
        <f>-'Annahmen'!AB250</f>
      </c>
      <c r="AE39" s="61">
        <f>SUM(S39:AD39)</f>
      </c>
      <c r="AF39" s="60">
        <f>-'Annahmen'!AD250</f>
      </c>
      <c r="AG39" s="60">
        <f>-'Annahmen'!AE250</f>
      </c>
      <c r="AH39" s="60">
        <f>-'Annahmen'!AF250</f>
      </c>
      <c r="AI39" s="60">
        <f>-'Annahmen'!AG250</f>
      </c>
      <c r="AJ39" s="60">
        <f>-'Annahmen'!AH250</f>
      </c>
      <c r="AK39" s="60">
        <f>-'Annahmen'!AI250</f>
      </c>
      <c r="AL39" s="60">
        <f>-'Annahmen'!AJ250</f>
      </c>
      <c r="AM39" s="60">
        <f>-'Annahmen'!AK250</f>
      </c>
      <c r="AN39" s="60">
        <f>-'Annahmen'!AL250</f>
      </c>
      <c r="AO39" s="60">
        <f>-'Annahmen'!AM250</f>
      </c>
      <c r="AP39" s="60">
        <f>-'Annahmen'!AN250</f>
      </c>
      <c r="AQ39" s="60">
        <f>-'Annahmen'!AO250</f>
      </c>
      <c r="AR39" s="61">
        <f>SUM(AF39:AQ39)</f>
      </c>
    </row>
    <row r="40" spans="2:44" x14ac:dyDescent="0.25">
      <c r="B40" s="58" t="s">
        <v>338</v>
      </c>
      <c r="C40" s="59">
        <v>-9870</v>
      </c>
      <c r="D40" s="59">
        <v>-11757</v>
      </c>
      <c r="E40" s="59">
        <v>-13934</v>
      </c>
      <c r="F40" s="60">
        <f>-'Annahmen'!D251</f>
      </c>
      <c r="G40" s="60">
        <f>-'Annahmen'!E251</f>
      </c>
      <c r="H40" s="60">
        <f>-'Annahmen'!F251</f>
      </c>
      <c r="I40" s="60">
        <f>-'Annahmen'!G251</f>
      </c>
      <c r="J40" s="60">
        <f>-'Annahmen'!H251</f>
      </c>
      <c r="K40" s="60">
        <f>-'Annahmen'!I251</f>
      </c>
      <c r="L40" s="60">
        <f>-'Annahmen'!J251</f>
      </c>
      <c r="M40" s="60">
        <f>-'Annahmen'!K251</f>
      </c>
      <c r="N40" s="60">
        <f>-'Annahmen'!L251</f>
      </c>
      <c r="O40" s="60">
        <f>-'Annahmen'!M251</f>
      </c>
      <c r="P40" s="60">
        <f>-'Annahmen'!N251</f>
      </c>
      <c r="Q40" s="60">
        <f>-'Annahmen'!O251</f>
      </c>
      <c r="R40" s="61">
        <f>SUM(F40:Q40)</f>
      </c>
      <c r="S40" s="60">
        <f>-'Annahmen'!Q251</f>
      </c>
      <c r="T40" s="60">
        <f>-'Annahmen'!R251</f>
      </c>
      <c r="U40" s="60">
        <f>-'Annahmen'!S251</f>
      </c>
      <c r="V40" s="60">
        <f>-'Annahmen'!T251</f>
      </c>
      <c r="W40" s="60">
        <f>-'Annahmen'!U251</f>
      </c>
      <c r="X40" s="60">
        <f>-'Annahmen'!V251</f>
      </c>
      <c r="Y40" s="60">
        <f>-'Annahmen'!W251</f>
      </c>
      <c r="Z40" s="60">
        <f>-'Annahmen'!X251</f>
      </c>
      <c r="AA40" s="60">
        <f>-'Annahmen'!Y251</f>
      </c>
      <c r="AB40" s="60">
        <f>-'Annahmen'!Z251</f>
      </c>
      <c r="AC40" s="60">
        <f>-'Annahmen'!AA251</f>
      </c>
      <c r="AD40" s="60">
        <f>-'Annahmen'!AB251</f>
      </c>
      <c r="AE40" s="61">
        <f>SUM(S40:AD40)</f>
      </c>
      <c r="AF40" s="60">
        <f>-'Annahmen'!AD251</f>
      </c>
      <c r="AG40" s="60">
        <f>-'Annahmen'!AE251</f>
      </c>
      <c r="AH40" s="60">
        <f>-'Annahmen'!AF251</f>
      </c>
      <c r="AI40" s="60">
        <f>-'Annahmen'!AG251</f>
      </c>
      <c r="AJ40" s="60">
        <f>-'Annahmen'!AH251</f>
      </c>
      <c r="AK40" s="60">
        <f>-'Annahmen'!AI251</f>
      </c>
      <c r="AL40" s="60">
        <f>-'Annahmen'!AJ251</f>
      </c>
      <c r="AM40" s="60">
        <f>-'Annahmen'!AK251</f>
      </c>
      <c r="AN40" s="60">
        <f>-'Annahmen'!AL251</f>
      </c>
      <c r="AO40" s="60">
        <f>-'Annahmen'!AM251</f>
      </c>
      <c r="AP40" s="60">
        <f>-'Annahmen'!AN251</f>
      </c>
      <c r="AQ40" s="60">
        <f>-'Annahmen'!AO251</f>
      </c>
      <c r="AR40" s="61">
        <f>SUM(AF40:AQ40)</f>
      </c>
    </row>
    <row r="41" spans="2:44" x14ac:dyDescent="0.25">
      <c r="B41" s="58" t="s">
        <v>339</v>
      </c>
      <c r="C41" s="59">
        <v>-15865</v>
      </c>
      <c r="D41" s="59">
        <v>-18898</v>
      </c>
      <c r="E41" s="59">
        <v>-22397</v>
      </c>
      <c r="F41" s="60">
        <f>-'Annahmen'!D252</f>
      </c>
      <c r="G41" s="60">
        <f>-'Annahmen'!E252</f>
      </c>
      <c r="H41" s="60">
        <f>-'Annahmen'!F252</f>
      </c>
      <c r="I41" s="60">
        <f>-'Annahmen'!G252</f>
      </c>
      <c r="J41" s="60">
        <f>-'Annahmen'!H252</f>
      </c>
      <c r="K41" s="60">
        <f>-'Annahmen'!I252</f>
      </c>
      <c r="L41" s="60">
        <f>-'Annahmen'!J252</f>
      </c>
      <c r="M41" s="60">
        <f>-'Annahmen'!K252</f>
      </c>
      <c r="N41" s="60">
        <f>-'Annahmen'!L252</f>
      </c>
      <c r="O41" s="60">
        <f>-'Annahmen'!M252</f>
      </c>
      <c r="P41" s="60">
        <f>-'Annahmen'!N252</f>
      </c>
      <c r="Q41" s="60">
        <f>-'Annahmen'!O252</f>
      </c>
      <c r="R41" s="61">
        <f>SUM(F41:Q41)</f>
      </c>
      <c r="S41" s="60">
        <f>-'Annahmen'!Q252</f>
      </c>
      <c r="T41" s="60">
        <f>-'Annahmen'!R252</f>
      </c>
      <c r="U41" s="60">
        <f>-'Annahmen'!S252</f>
      </c>
      <c r="V41" s="60">
        <f>-'Annahmen'!T252</f>
      </c>
      <c r="W41" s="60">
        <f>-'Annahmen'!U252</f>
      </c>
      <c r="X41" s="60">
        <f>-'Annahmen'!V252</f>
      </c>
      <c r="Y41" s="60">
        <f>-'Annahmen'!W252</f>
      </c>
      <c r="Z41" s="60">
        <f>-'Annahmen'!X252</f>
      </c>
      <c r="AA41" s="60">
        <f>-'Annahmen'!Y252</f>
      </c>
      <c r="AB41" s="60">
        <f>-'Annahmen'!Z252</f>
      </c>
      <c r="AC41" s="60">
        <f>-'Annahmen'!AA252</f>
      </c>
      <c r="AD41" s="60">
        <f>-'Annahmen'!AB252</f>
      </c>
      <c r="AE41" s="61">
        <f>SUM(S41:AD41)</f>
      </c>
      <c r="AF41" s="60">
        <f>-'Annahmen'!AD252</f>
      </c>
      <c r="AG41" s="60">
        <f>-'Annahmen'!AE252</f>
      </c>
      <c r="AH41" s="60">
        <f>-'Annahmen'!AF252</f>
      </c>
      <c r="AI41" s="60">
        <f>-'Annahmen'!AG252</f>
      </c>
      <c r="AJ41" s="60">
        <f>-'Annahmen'!AH252</f>
      </c>
      <c r="AK41" s="60">
        <f>-'Annahmen'!AI252</f>
      </c>
      <c r="AL41" s="60">
        <f>-'Annahmen'!AJ252</f>
      </c>
      <c r="AM41" s="60">
        <f>-'Annahmen'!AK252</f>
      </c>
      <c r="AN41" s="60">
        <f>-'Annahmen'!AL252</f>
      </c>
      <c r="AO41" s="60">
        <f>-'Annahmen'!AM252</f>
      </c>
      <c r="AP41" s="60">
        <f>-'Annahmen'!AN252</f>
      </c>
      <c r="AQ41" s="60">
        <f>-'Annahmen'!AO252</f>
      </c>
      <c r="AR41" s="61">
        <f>SUM(AF41:AQ41)</f>
      </c>
    </row>
    <row r="42" spans="2:44" x14ac:dyDescent="0.25">
      <c r="B42" s="58" t="s">
        <v>340</v>
      </c>
      <c r="C42" s="59">
        <v>-11283</v>
      </c>
      <c r="D42" s="59">
        <v>-13440</v>
      </c>
      <c r="E42" s="59">
        <v>-15929</v>
      </c>
      <c r="F42" s="60">
        <f>-'Annahmen'!D253</f>
      </c>
      <c r="G42" s="60">
        <f>-'Annahmen'!E253</f>
      </c>
      <c r="H42" s="60">
        <f>-'Annahmen'!F253</f>
      </c>
      <c r="I42" s="60">
        <f>-'Annahmen'!G253</f>
      </c>
      <c r="J42" s="60">
        <f>-'Annahmen'!H253</f>
      </c>
      <c r="K42" s="60">
        <f>-'Annahmen'!I253</f>
      </c>
      <c r="L42" s="60">
        <f>-'Annahmen'!J253</f>
      </c>
      <c r="M42" s="60">
        <f>-'Annahmen'!K253</f>
      </c>
      <c r="N42" s="60">
        <f>-'Annahmen'!L253</f>
      </c>
      <c r="O42" s="60">
        <f>-'Annahmen'!M253</f>
      </c>
      <c r="P42" s="60">
        <f>-'Annahmen'!N253</f>
      </c>
      <c r="Q42" s="60">
        <f>-'Annahmen'!O253</f>
      </c>
      <c r="R42" s="61">
        <f>SUM(F42:Q42)</f>
      </c>
      <c r="S42" s="60">
        <f>-'Annahmen'!Q253</f>
      </c>
      <c r="T42" s="60">
        <f>-'Annahmen'!R253</f>
      </c>
      <c r="U42" s="60">
        <f>-'Annahmen'!S253</f>
      </c>
      <c r="V42" s="60">
        <f>-'Annahmen'!T253</f>
      </c>
      <c r="W42" s="60">
        <f>-'Annahmen'!U253</f>
      </c>
      <c r="X42" s="60">
        <f>-'Annahmen'!V253</f>
      </c>
      <c r="Y42" s="60">
        <f>-'Annahmen'!W253</f>
      </c>
      <c r="Z42" s="60">
        <f>-'Annahmen'!X253</f>
      </c>
      <c r="AA42" s="60">
        <f>-'Annahmen'!Y253</f>
      </c>
      <c r="AB42" s="60">
        <f>-'Annahmen'!Z253</f>
      </c>
      <c r="AC42" s="60">
        <f>-'Annahmen'!AA253</f>
      </c>
      <c r="AD42" s="60">
        <f>-'Annahmen'!AB253</f>
      </c>
      <c r="AE42" s="61">
        <f>SUM(S42:AD42)</f>
      </c>
      <c r="AF42" s="60">
        <f>-'Annahmen'!AD253</f>
      </c>
      <c r="AG42" s="60">
        <f>-'Annahmen'!AE253</f>
      </c>
      <c r="AH42" s="60">
        <f>-'Annahmen'!AF253</f>
      </c>
      <c r="AI42" s="60">
        <f>-'Annahmen'!AG253</f>
      </c>
      <c r="AJ42" s="60">
        <f>-'Annahmen'!AH253</f>
      </c>
      <c r="AK42" s="60">
        <f>-'Annahmen'!AI253</f>
      </c>
      <c r="AL42" s="60">
        <f>-'Annahmen'!AJ253</f>
      </c>
      <c r="AM42" s="60">
        <f>-'Annahmen'!AK253</f>
      </c>
      <c r="AN42" s="60">
        <f>-'Annahmen'!AL253</f>
      </c>
      <c r="AO42" s="60">
        <f>-'Annahmen'!AM253</f>
      </c>
      <c r="AP42" s="60">
        <f>-'Annahmen'!AN253</f>
      </c>
      <c r="AQ42" s="60">
        <f>-'Annahmen'!AO253</f>
      </c>
      <c r="AR42" s="61">
        <f>SUM(AF42:AQ42)</f>
      </c>
    </row>
    <row r="43" spans="2:44" x14ac:dyDescent="0.25">
      <c r="B43" s="58" t="s">
        <v>341</v>
      </c>
      <c r="C43" s="59">
        <v>-6346</v>
      </c>
      <c r="D43" s="59">
        <v>-7559</v>
      </c>
      <c r="E43" s="59">
        <v>-8959</v>
      </c>
      <c r="F43" s="60">
        <f>-'Annahmen'!D254</f>
      </c>
      <c r="G43" s="60">
        <f>-'Annahmen'!E254</f>
      </c>
      <c r="H43" s="60">
        <f>-'Annahmen'!F254</f>
      </c>
      <c r="I43" s="60">
        <f>-'Annahmen'!G254</f>
      </c>
      <c r="J43" s="60">
        <f>-'Annahmen'!H254</f>
      </c>
      <c r="K43" s="60">
        <f>-'Annahmen'!I254</f>
      </c>
      <c r="L43" s="60">
        <f>-'Annahmen'!J254</f>
      </c>
      <c r="M43" s="60">
        <f>-'Annahmen'!K254</f>
      </c>
      <c r="N43" s="60">
        <f>-'Annahmen'!L254</f>
      </c>
      <c r="O43" s="60">
        <f>-'Annahmen'!M254</f>
      </c>
      <c r="P43" s="60">
        <f>-'Annahmen'!N254</f>
      </c>
      <c r="Q43" s="60">
        <f>-'Annahmen'!O254</f>
      </c>
      <c r="R43" s="61">
        <f>SUM(F43:Q43)</f>
      </c>
      <c r="S43" s="60">
        <f>-'Annahmen'!Q254</f>
      </c>
      <c r="T43" s="60">
        <f>-'Annahmen'!R254</f>
      </c>
      <c r="U43" s="60">
        <f>-'Annahmen'!S254</f>
      </c>
      <c r="V43" s="60">
        <f>-'Annahmen'!T254</f>
      </c>
      <c r="W43" s="60">
        <f>-'Annahmen'!U254</f>
      </c>
      <c r="X43" s="60">
        <f>-'Annahmen'!V254</f>
      </c>
      <c r="Y43" s="60">
        <f>-'Annahmen'!W254</f>
      </c>
      <c r="Z43" s="60">
        <f>-'Annahmen'!X254</f>
      </c>
      <c r="AA43" s="60">
        <f>-'Annahmen'!Y254</f>
      </c>
      <c r="AB43" s="60">
        <f>-'Annahmen'!Z254</f>
      </c>
      <c r="AC43" s="60">
        <f>-'Annahmen'!AA254</f>
      </c>
      <c r="AD43" s="60">
        <f>-'Annahmen'!AB254</f>
      </c>
      <c r="AE43" s="61">
        <f>SUM(S43:AD43)</f>
      </c>
      <c r="AF43" s="60">
        <f>-'Annahmen'!AD254</f>
      </c>
      <c r="AG43" s="60">
        <f>-'Annahmen'!AE254</f>
      </c>
      <c r="AH43" s="60">
        <f>-'Annahmen'!AF254</f>
      </c>
      <c r="AI43" s="60">
        <f>-'Annahmen'!AG254</f>
      </c>
      <c r="AJ43" s="60">
        <f>-'Annahmen'!AH254</f>
      </c>
      <c r="AK43" s="60">
        <f>-'Annahmen'!AI254</f>
      </c>
      <c r="AL43" s="60">
        <f>-'Annahmen'!AJ254</f>
      </c>
      <c r="AM43" s="60">
        <f>-'Annahmen'!AK254</f>
      </c>
      <c r="AN43" s="60">
        <f>-'Annahmen'!AL254</f>
      </c>
      <c r="AO43" s="60">
        <f>-'Annahmen'!AM254</f>
      </c>
      <c r="AP43" s="60">
        <f>-'Annahmen'!AN254</f>
      </c>
      <c r="AQ43" s="60">
        <f>-'Annahmen'!AO254</f>
      </c>
      <c r="AR43" s="61">
        <f>SUM(AF43:AQ43)</f>
      </c>
    </row>
    <row r="44" spans="2:44" x14ac:dyDescent="0.25">
      <c r="B44" s="58" t="s">
        <v>342</v>
      </c>
      <c r="C44" s="59">
        <v>-19038</v>
      </c>
      <c r="D44" s="59">
        <v>-22677</v>
      </c>
      <c r="E44" s="59">
        <v>-26877</v>
      </c>
      <c r="F44" s="60">
        <f>-'Annahmen'!D255</f>
      </c>
      <c r="G44" s="60">
        <f>-'Annahmen'!E255</f>
      </c>
      <c r="H44" s="60">
        <f>-'Annahmen'!F255</f>
      </c>
      <c r="I44" s="60">
        <f>-'Annahmen'!G255</f>
      </c>
      <c r="J44" s="60">
        <f>-'Annahmen'!H255</f>
      </c>
      <c r="K44" s="60">
        <f>-'Annahmen'!I255</f>
      </c>
      <c r="L44" s="60">
        <f>-'Annahmen'!J255</f>
      </c>
      <c r="M44" s="60">
        <f>-'Annahmen'!K255</f>
      </c>
      <c r="N44" s="60">
        <f>-'Annahmen'!L255</f>
      </c>
      <c r="O44" s="60">
        <f>-'Annahmen'!M255</f>
      </c>
      <c r="P44" s="60">
        <f>-'Annahmen'!N255</f>
      </c>
      <c r="Q44" s="60">
        <f>-'Annahmen'!O255</f>
      </c>
      <c r="R44" s="61">
        <f>SUM(F44:Q44)</f>
      </c>
      <c r="S44" s="60">
        <f>-'Annahmen'!Q255</f>
      </c>
      <c r="T44" s="60">
        <f>-'Annahmen'!R255</f>
      </c>
      <c r="U44" s="60">
        <f>-'Annahmen'!S255</f>
      </c>
      <c r="V44" s="60">
        <f>-'Annahmen'!T255</f>
      </c>
      <c r="W44" s="60">
        <f>-'Annahmen'!U255</f>
      </c>
      <c r="X44" s="60">
        <f>-'Annahmen'!V255</f>
      </c>
      <c r="Y44" s="60">
        <f>-'Annahmen'!W255</f>
      </c>
      <c r="Z44" s="60">
        <f>-'Annahmen'!X255</f>
      </c>
      <c r="AA44" s="60">
        <f>-'Annahmen'!Y255</f>
      </c>
      <c r="AB44" s="60">
        <f>-'Annahmen'!Z255</f>
      </c>
      <c r="AC44" s="60">
        <f>-'Annahmen'!AA255</f>
      </c>
      <c r="AD44" s="60">
        <f>-'Annahmen'!AB255</f>
      </c>
      <c r="AE44" s="61">
        <f>SUM(S44:AD44)</f>
      </c>
      <c r="AF44" s="60">
        <f>-'Annahmen'!AD255</f>
      </c>
      <c r="AG44" s="60">
        <f>-'Annahmen'!AE255</f>
      </c>
      <c r="AH44" s="60">
        <f>-'Annahmen'!AF255</f>
      </c>
      <c r="AI44" s="60">
        <f>-'Annahmen'!AG255</f>
      </c>
      <c r="AJ44" s="60">
        <f>-'Annahmen'!AH255</f>
      </c>
      <c r="AK44" s="60">
        <f>-'Annahmen'!AI255</f>
      </c>
      <c r="AL44" s="60">
        <f>-'Annahmen'!AJ255</f>
      </c>
      <c r="AM44" s="60">
        <f>-'Annahmen'!AK255</f>
      </c>
      <c r="AN44" s="60">
        <f>-'Annahmen'!AL255</f>
      </c>
      <c r="AO44" s="60">
        <f>-'Annahmen'!AM255</f>
      </c>
      <c r="AP44" s="60">
        <f>-'Annahmen'!AN255</f>
      </c>
      <c r="AQ44" s="60">
        <f>-'Annahmen'!AO255</f>
      </c>
      <c r="AR44" s="61">
        <f>SUM(AF44:AQ44)</f>
      </c>
    </row>
    <row r="45" spans="2:44" x14ac:dyDescent="0.25">
      <c r="B45" s="58" t="s">
        <v>343</v>
      </c>
      <c r="C45" s="59">
        <v>-14807</v>
      </c>
      <c r="D45" s="59">
        <v>-17638</v>
      </c>
      <c r="E45" s="59">
        <v>-20904</v>
      </c>
      <c r="F45" s="60">
        <f>-'Annahmen'!D256</f>
      </c>
      <c r="G45" s="60">
        <f>-'Annahmen'!E256</f>
      </c>
      <c r="H45" s="60">
        <f>-'Annahmen'!F256</f>
      </c>
      <c r="I45" s="60">
        <f>-'Annahmen'!G256</f>
      </c>
      <c r="J45" s="60">
        <f>-'Annahmen'!H256</f>
      </c>
      <c r="K45" s="60">
        <f>-'Annahmen'!I256</f>
      </c>
      <c r="L45" s="60">
        <f>-'Annahmen'!J256</f>
      </c>
      <c r="M45" s="60">
        <f>-'Annahmen'!K256</f>
      </c>
      <c r="N45" s="60">
        <f>-'Annahmen'!L256</f>
      </c>
      <c r="O45" s="60">
        <f>-'Annahmen'!M256</f>
      </c>
      <c r="P45" s="60">
        <f>-'Annahmen'!N256</f>
      </c>
      <c r="Q45" s="60">
        <f>-'Annahmen'!O256</f>
      </c>
      <c r="R45" s="61">
        <f>SUM(F45:Q45)</f>
      </c>
      <c r="S45" s="60">
        <f>-'Annahmen'!Q256</f>
      </c>
      <c r="T45" s="60">
        <f>-'Annahmen'!R256</f>
      </c>
      <c r="U45" s="60">
        <f>-'Annahmen'!S256</f>
      </c>
      <c r="V45" s="60">
        <f>-'Annahmen'!T256</f>
      </c>
      <c r="W45" s="60">
        <f>-'Annahmen'!U256</f>
      </c>
      <c r="X45" s="60">
        <f>-'Annahmen'!V256</f>
      </c>
      <c r="Y45" s="60">
        <f>-'Annahmen'!W256</f>
      </c>
      <c r="Z45" s="60">
        <f>-'Annahmen'!X256</f>
      </c>
      <c r="AA45" s="60">
        <f>-'Annahmen'!Y256</f>
      </c>
      <c r="AB45" s="60">
        <f>-'Annahmen'!Z256</f>
      </c>
      <c r="AC45" s="60">
        <f>-'Annahmen'!AA256</f>
      </c>
      <c r="AD45" s="60">
        <f>-'Annahmen'!AB256</f>
      </c>
      <c r="AE45" s="61">
        <f>SUM(S45:AD45)</f>
      </c>
      <c r="AF45" s="60">
        <f>-'Annahmen'!AD256</f>
      </c>
      <c r="AG45" s="60">
        <f>-'Annahmen'!AE256</f>
      </c>
      <c r="AH45" s="60">
        <f>-'Annahmen'!AF256</f>
      </c>
      <c r="AI45" s="60">
        <f>-'Annahmen'!AG256</f>
      </c>
      <c r="AJ45" s="60">
        <f>-'Annahmen'!AH256</f>
      </c>
      <c r="AK45" s="60">
        <f>-'Annahmen'!AI256</f>
      </c>
      <c r="AL45" s="60">
        <f>-'Annahmen'!AJ256</f>
      </c>
      <c r="AM45" s="60">
        <f>-'Annahmen'!AK256</f>
      </c>
      <c r="AN45" s="60">
        <f>-'Annahmen'!AL256</f>
      </c>
      <c r="AO45" s="60">
        <f>-'Annahmen'!AM256</f>
      </c>
      <c r="AP45" s="60">
        <f>-'Annahmen'!AN256</f>
      </c>
      <c r="AQ45" s="60">
        <f>-'Annahmen'!AO256</f>
      </c>
      <c r="AR45" s="61">
        <f>SUM(AF45:AQ45)</f>
      </c>
    </row>
    <row r="46" spans="2:44" x14ac:dyDescent="0.25">
      <c r="B46" s="58" t="s">
        <v>344</v>
      </c>
      <c r="C46" s="59">
        <v>-5288</v>
      </c>
      <c r="D46" s="59">
        <v>-6299</v>
      </c>
      <c r="E46" s="59">
        <v>-7466</v>
      </c>
      <c r="F46" s="60">
        <f>-'Annahmen'!D257</f>
      </c>
      <c r="G46" s="60">
        <f>-'Annahmen'!E257</f>
      </c>
      <c r="H46" s="60">
        <f>-'Annahmen'!F257</f>
      </c>
      <c r="I46" s="60">
        <f>-'Annahmen'!G257</f>
      </c>
      <c r="J46" s="60">
        <f>-'Annahmen'!H257</f>
      </c>
      <c r="K46" s="60">
        <f>-'Annahmen'!I257</f>
      </c>
      <c r="L46" s="60">
        <f>-'Annahmen'!J257</f>
      </c>
      <c r="M46" s="60">
        <f>-'Annahmen'!K257</f>
      </c>
      <c r="N46" s="60">
        <f>-'Annahmen'!L257</f>
      </c>
      <c r="O46" s="60">
        <f>-'Annahmen'!M257</f>
      </c>
      <c r="P46" s="60">
        <f>-'Annahmen'!N257</f>
      </c>
      <c r="Q46" s="60">
        <f>-'Annahmen'!O257</f>
      </c>
      <c r="R46" s="61">
        <f>SUM(F46:Q46)</f>
      </c>
      <c r="S46" s="60">
        <f>-'Annahmen'!Q257</f>
      </c>
      <c r="T46" s="60">
        <f>-'Annahmen'!R257</f>
      </c>
      <c r="U46" s="60">
        <f>-'Annahmen'!S257</f>
      </c>
      <c r="V46" s="60">
        <f>-'Annahmen'!T257</f>
      </c>
      <c r="W46" s="60">
        <f>-'Annahmen'!U257</f>
      </c>
      <c r="X46" s="60">
        <f>-'Annahmen'!V257</f>
      </c>
      <c r="Y46" s="60">
        <f>-'Annahmen'!W257</f>
      </c>
      <c r="Z46" s="60">
        <f>-'Annahmen'!X257</f>
      </c>
      <c r="AA46" s="60">
        <f>-'Annahmen'!Y257</f>
      </c>
      <c r="AB46" s="60">
        <f>-'Annahmen'!Z257</f>
      </c>
      <c r="AC46" s="60">
        <f>-'Annahmen'!AA257</f>
      </c>
      <c r="AD46" s="60">
        <f>-'Annahmen'!AB257</f>
      </c>
      <c r="AE46" s="61">
        <f>SUM(S46:AD46)</f>
      </c>
      <c r="AF46" s="60">
        <f>-'Annahmen'!AD257</f>
      </c>
      <c r="AG46" s="60">
        <f>-'Annahmen'!AE257</f>
      </c>
      <c r="AH46" s="60">
        <f>-'Annahmen'!AF257</f>
      </c>
      <c r="AI46" s="60">
        <f>-'Annahmen'!AG257</f>
      </c>
      <c r="AJ46" s="60">
        <f>-'Annahmen'!AH257</f>
      </c>
      <c r="AK46" s="60">
        <f>-'Annahmen'!AI257</f>
      </c>
      <c r="AL46" s="60">
        <f>-'Annahmen'!AJ257</f>
      </c>
      <c r="AM46" s="60">
        <f>-'Annahmen'!AK257</f>
      </c>
      <c r="AN46" s="60">
        <f>-'Annahmen'!AL257</f>
      </c>
      <c r="AO46" s="60">
        <f>-'Annahmen'!AM257</f>
      </c>
      <c r="AP46" s="60">
        <f>-'Annahmen'!AN257</f>
      </c>
      <c r="AQ46" s="60">
        <f>-'Annahmen'!AO257</f>
      </c>
      <c r="AR46" s="61">
        <f>SUM(AF46:AQ46)</f>
      </c>
    </row>
    <row r="47" spans="2:44" x14ac:dyDescent="0.25">
      <c r="B47" s="58" t="s">
        <v>345</v>
      </c>
      <c r="C47" s="59">
        <v>-8461</v>
      </c>
      <c r="D47" s="59">
        <v>-10079</v>
      </c>
      <c r="E47" s="59">
        <v>-11945</v>
      </c>
      <c r="F47" s="60">
        <f>-'Annahmen'!D258</f>
      </c>
      <c r="G47" s="60">
        <f>-'Annahmen'!E258</f>
      </c>
      <c r="H47" s="60">
        <f>-'Annahmen'!F258</f>
      </c>
      <c r="I47" s="60">
        <f>-'Annahmen'!G258</f>
      </c>
      <c r="J47" s="60">
        <f>-'Annahmen'!H258</f>
      </c>
      <c r="K47" s="60">
        <f>-'Annahmen'!I258</f>
      </c>
      <c r="L47" s="60">
        <f>-'Annahmen'!J258</f>
      </c>
      <c r="M47" s="60">
        <f>-'Annahmen'!K258</f>
      </c>
      <c r="N47" s="60">
        <f>-'Annahmen'!L258</f>
      </c>
      <c r="O47" s="60">
        <f>-'Annahmen'!M258</f>
      </c>
      <c r="P47" s="60">
        <f>-'Annahmen'!N258</f>
      </c>
      <c r="Q47" s="60">
        <f>-'Annahmen'!O258</f>
      </c>
      <c r="R47" s="61">
        <f>SUM(F47:Q47)</f>
      </c>
      <c r="S47" s="60">
        <f>-'Annahmen'!Q258</f>
      </c>
      <c r="T47" s="60">
        <f>-'Annahmen'!R258</f>
      </c>
      <c r="U47" s="60">
        <f>-'Annahmen'!S258</f>
      </c>
      <c r="V47" s="60">
        <f>-'Annahmen'!T258</f>
      </c>
      <c r="W47" s="60">
        <f>-'Annahmen'!U258</f>
      </c>
      <c r="X47" s="60">
        <f>-'Annahmen'!V258</f>
      </c>
      <c r="Y47" s="60">
        <f>-'Annahmen'!W258</f>
      </c>
      <c r="Z47" s="60">
        <f>-'Annahmen'!X258</f>
      </c>
      <c r="AA47" s="60">
        <f>-'Annahmen'!Y258</f>
      </c>
      <c r="AB47" s="60">
        <f>-'Annahmen'!Z258</f>
      </c>
      <c r="AC47" s="60">
        <f>-'Annahmen'!AA258</f>
      </c>
      <c r="AD47" s="60">
        <f>-'Annahmen'!AB258</f>
      </c>
      <c r="AE47" s="61">
        <f>SUM(S47:AD47)</f>
      </c>
      <c r="AF47" s="60">
        <f>-'Annahmen'!AD258</f>
      </c>
      <c r="AG47" s="60">
        <f>-'Annahmen'!AE258</f>
      </c>
      <c r="AH47" s="60">
        <f>-'Annahmen'!AF258</f>
      </c>
      <c r="AI47" s="60">
        <f>-'Annahmen'!AG258</f>
      </c>
      <c r="AJ47" s="60">
        <f>-'Annahmen'!AH258</f>
      </c>
      <c r="AK47" s="60">
        <f>-'Annahmen'!AI258</f>
      </c>
      <c r="AL47" s="60">
        <f>-'Annahmen'!AJ258</f>
      </c>
      <c r="AM47" s="60">
        <f>-'Annahmen'!AK258</f>
      </c>
      <c r="AN47" s="60">
        <f>-'Annahmen'!AL258</f>
      </c>
      <c r="AO47" s="60">
        <f>-'Annahmen'!AM258</f>
      </c>
      <c r="AP47" s="60">
        <f>-'Annahmen'!AN258</f>
      </c>
      <c r="AQ47" s="60">
        <f>-'Annahmen'!AO258</f>
      </c>
      <c r="AR47" s="61">
        <f>SUM(AF47:AQ47)</f>
      </c>
    </row>
    <row r="48" spans="2:44" x14ac:dyDescent="0.25">
      <c r="B48" s="58" t="s">
        <v>346</v>
      </c>
      <c r="C48" s="59">
        <v>-38781</v>
      </c>
      <c r="D48" s="59">
        <v>-46195</v>
      </c>
      <c r="E48" s="59">
        <v>-54749</v>
      </c>
      <c r="F48" s="60">
        <f>-'Annahmen'!D259</f>
      </c>
      <c r="G48" s="60">
        <f>-'Annahmen'!E259</f>
      </c>
      <c r="H48" s="60">
        <f>-'Annahmen'!F259</f>
      </c>
      <c r="I48" s="60">
        <f>-'Annahmen'!G259</f>
      </c>
      <c r="J48" s="60">
        <f>-'Annahmen'!H259</f>
      </c>
      <c r="K48" s="60">
        <f>-'Annahmen'!I259</f>
      </c>
      <c r="L48" s="60">
        <f>-'Annahmen'!J259</f>
      </c>
      <c r="M48" s="60">
        <f>-'Annahmen'!K259</f>
      </c>
      <c r="N48" s="60">
        <f>-'Annahmen'!L259</f>
      </c>
      <c r="O48" s="60">
        <f>-'Annahmen'!M259</f>
      </c>
      <c r="P48" s="60">
        <f>-'Annahmen'!N259</f>
      </c>
      <c r="Q48" s="60">
        <f>-'Annahmen'!O259</f>
      </c>
      <c r="R48" s="61">
        <f>SUM(F48:Q48)</f>
      </c>
      <c r="S48" s="60">
        <f>-'Annahmen'!Q259</f>
      </c>
      <c r="T48" s="60">
        <f>-'Annahmen'!R259</f>
      </c>
      <c r="U48" s="60">
        <f>-'Annahmen'!S259</f>
      </c>
      <c r="V48" s="60">
        <f>-'Annahmen'!T259</f>
      </c>
      <c r="W48" s="60">
        <f>-'Annahmen'!U259</f>
      </c>
      <c r="X48" s="60">
        <f>-'Annahmen'!V259</f>
      </c>
      <c r="Y48" s="60">
        <f>-'Annahmen'!W259</f>
      </c>
      <c r="Z48" s="60">
        <f>-'Annahmen'!X259</f>
      </c>
      <c r="AA48" s="60">
        <f>-'Annahmen'!Y259</f>
      </c>
      <c r="AB48" s="60">
        <f>-'Annahmen'!Z259</f>
      </c>
      <c r="AC48" s="60">
        <f>-'Annahmen'!AA259</f>
      </c>
      <c r="AD48" s="60">
        <f>-'Annahmen'!AB259</f>
      </c>
      <c r="AE48" s="61">
        <f>SUM(S48:AD48)</f>
      </c>
      <c r="AF48" s="60">
        <f>-'Annahmen'!AD259</f>
      </c>
      <c r="AG48" s="60">
        <f>-'Annahmen'!AE259</f>
      </c>
      <c r="AH48" s="60">
        <f>-'Annahmen'!AF259</f>
      </c>
      <c r="AI48" s="60">
        <f>-'Annahmen'!AG259</f>
      </c>
      <c r="AJ48" s="60">
        <f>-'Annahmen'!AH259</f>
      </c>
      <c r="AK48" s="60">
        <f>-'Annahmen'!AI259</f>
      </c>
      <c r="AL48" s="60">
        <f>-'Annahmen'!AJ259</f>
      </c>
      <c r="AM48" s="60">
        <f>-'Annahmen'!AK259</f>
      </c>
      <c r="AN48" s="60">
        <f>-'Annahmen'!AL259</f>
      </c>
      <c r="AO48" s="60">
        <f>-'Annahmen'!AM259</f>
      </c>
      <c r="AP48" s="60">
        <f>-'Annahmen'!AN259</f>
      </c>
      <c r="AQ48" s="60">
        <f>-'Annahmen'!AO259</f>
      </c>
      <c r="AR48" s="61">
        <f>SUM(AF48:AQ48)</f>
      </c>
    </row>
    <row r="49" spans="2:44" x14ac:dyDescent="0.25">
      <c r="B49" s="58" t="s">
        <v>347</v>
      </c>
      <c r="C49" s="59">
        <v>-27499</v>
      </c>
      <c r="D49" s="59">
        <v>-32756</v>
      </c>
      <c r="E49" s="59">
        <v>-38822</v>
      </c>
      <c r="F49" s="60">
        <f>-'Annahmen'!D260</f>
      </c>
      <c r="G49" s="60">
        <f>-'Annahmen'!E260</f>
      </c>
      <c r="H49" s="60">
        <f>-'Annahmen'!F260</f>
      </c>
      <c r="I49" s="60">
        <f>-'Annahmen'!G260</f>
      </c>
      <c r="J49" s="60">
        <f>-'Annahmen'!H260</f>
      </c>
      <c r="K49" s="60">
        <f>-'Annahmen'!I260</f>
      </c>
      <c r="L49" s="60">
        <f>-'Annahmen'!J260</f>
      </c>
      <c r="M49" s="60">
        <f>-'Annahmen'!K260</f>
      </c>
      <c r="N49" s="60">
        <f>-'Annahmen'!L260</f>
      </c>
      <c r="O49" s="60">
        <f>-'Annahmen'!M260</f>
      </c>
      <c r="P49" s="60">
        <f>-'Annahmen'!N260</f>
      </c>
      <c r="Q49" s="60">
        <f>-'Annahmen'!O260</f>
      </c>
      <c r="R49" s="61">
        <f>SUM(F49:Q49)</f>
      </c>
      <c r="S49" s="60">
        <f>-'Annahmen'!Q260</f>
      </c>
      <c r="T49" s="60">
        <f>-'Annahmen'!R260</f>
      </c>
      <c r="U49" s="60">
        <f>-'Annahmen'!S260</f>
      </c>
      <c r="V49" s="60">
        <f>-'Annahmen'!T260</f>
      </c>
      <c r="W49" s="60">
        <f>-'Annahmen'!U260</f>
      </c>
      <c r="X49" s="60">
        <f>-'Annahmen'!V260</f>
      </c>
      <c r="Y49" s="60">
        <f>-'Annahmen'!W260</f>
      </c>
      <c r="Z49" s="60">
        <f>-'Annahmen'!X260</f>
      </c>
      <c r="AA49" s="60">
        <f>-'Annahmen'!Y260</f>
      </c>
      <c r="AB49" s="60">
        <f>-'Annahmen'!Z260</f>
      </c>
      <c r="AC49" s="60">
        <f>-'Annahmen'!AA260</f>
      </c>
      <c r="AD49" s="60">
        <f>-'Annahmen'!AB260</f>
      </c>
      <c r="AE49" s="61">
        <f>SUM(S49:AD49)</f>
      </c>
      <c r="AF49" s="60">
        <f>-'Annahmen'!AD260</f>
      </c>
      <c r="AG49" s="60">
        <f>-'Annahmen'!AE260</f>
      </c>
      <c r="AH49" s="60">
        <f>-'Annahmen'!AF260</f>
      </c>
      <c r="AI49" s="60">
        <f>-'Annahmen'!AG260</f>
      </c>
      <c r="AJ49" s="60">
        <f>-'Annahmen'!AH260</f>
      </c>
      <c r="AK49" s="60">
        <f>-'Annahmen'!AI260</f>
      </c>
      <c r="AL49" s="60">
        <f>-'Annahmen'!AJ260</f>
      </c>
      <c r="AM49" s="60">
        <f>-'Annahmen'!AK260</f>
      </c>
      <c r="AN49" s="60">
        <f>-'Annahmen'!AL260</f>
      </c>
      <c r="AO49" s="60">
        <f>-'Annahmen'!AM260</f>
      </c>
      <c r="AP49" s="60">
        <f>-'Annahmen'!AN260</f>
      </c>
      <c r="AQ49" s="60">
        <f>-'Annahmen'!AO260</f>
      </c>
      <c r="AR49" s="61">
        <f>SUM(AF49:AQ49)</f>
      </c>
    </row>
    <row r="50" spans="2:44" x14ac:dyDescent="0.25">
      <c r="B50" s="58" t="s">
        <v>348</v>
      </c>
      <c r="C50" s="59">
        <v>0</v>
      </c>
      <c r="D50" s="59">
        <v>0</v>
      </c>
      <c r="E50" s="59">
        <v>0</v>
      </c>
      <c r="F50" s="60">
        <f>-'Annahmen'!D261</f>
      </c>
      <c r="G50" s="60">
        <f>-'Annahmen'!E261</f>
      </c>
      <c r="H50" s="60">
        <f>-'Annahmen'!F261</f>
      </c>
      <c r="I50" s="60">
        <f>-'Annahmen'!G261</f>
      </c>
      <c r="J50" s="60">
        <f>-'Annahmen'!H261</f>
      </c>
      <c r="K50" s="60">
        <f>-'Annahmen'!I261</f>
      </c>
      <c r="L50" s="60">
        <f>-'Annahmen'!J261</f>
      </c>
      <c r="M50" s="60">
        <f>-'Annahmen'!K261</f>
      </c>
      <c r="N50" s="60">
        <f>-'Annahmen'!L261</f>
      </c>
      <c r="O50" s="60">
        <f>-'Annahmen'!M261</f>
      </c>
      <c r="P50" s="60">
        <f>-'Annahmen'!N261</f>
      </c>
      <c r="Q50" s="60">
        <f>-'Annahmen'!O261</f>
      </c>
      <c r="R50" s="61">
        <f>SUM(F50:Q50)</f>
      </c>
      <c r="S50" s="60">
        <f>-'Annahmen'!Q261</f>
      </c>
      <c r="T50" s="60">
        <f>-'Annahmen'!R261</f>
      </c>
      <c r="U50" s="60">
        <f>-'Annahmen'!S261</f>
      </c>
      <c r="V50" s="60">
        <f>-'Annahmen'!T261</f>
      </c>
      <c r="W50" s="60">
        <f>-'Annahmen'!U261</f>
      </c>
      <c r="X50" s="60">
        <f>-'Annahmen'!V261</f>
      </c>
      <c r="Y50" s="60">
        <f>-'Annahmen'!W261</f>
      </c>
      <c r="Z50" s="60">
        <f>-'Annahmen'!X261</f>
      </c>
      <c r="AA50" s="60">
        <f>-'Annahmen'!Y261</f>
      </c>
      <c r="AB50" s="60">
        <f>-'Annahmen'!Z261</f>
      </c>
      <c r="AC50" s="60">
        <f>-'Annahmen'!AA261</f>
      </c>
      <c r="AD50" s="60">
        <f>-'Annahmen'!AB261</f>
      </c>
      <c r="AE50" s="61">
        <f>SUM(S50:AD50)</f>
      </c>
      <c r="AF50" s="60">
        <f>-'Annahmen'!AD261</f>
      </c>
      <c r="AG50" s="60">
        <f>-'Annahmen'!AE261</f>
      </c>
      <c r="AH50" s="60">
        <f>-'Annahmen'!AF261</f>
      </c>
      <c r="AI50" s="60">
        <f>-'Annahmen'!AG261</f>
      </c>
      <c r="AJ50" s="60">
        <f>-'Annahmen'!AH261</f>
      </c>
      <c r="AK50" s="60">
        <f>-'Annahmen'!AI261</f>
      </c>
      <c r="AL50" s="60">
        <f>-'Annahmen'!AJ261</f>
      </c>
      <c r="AM50" s="60">
        <f>-'Annahmen'!AK261</f>
      </c>
      <c r="AN50" s="60">
        <f>-'Annahmen'!AL261</f>
      </c>
      <c r="AO50" s="60">
        <f>-'Annahmen'!AM261</f>
      </c>
      <c r="AP50" s="60">
        <f>-'Annahmen'!AN261</f>
      </c>
      <c r="AQ50" s="60">
        <f>-'Annahmen'!AO261</f>
      </c>
      <c r="AR50" s="61">
        <f>SUM(AF50:AQ50)</f>
      </c>
    </row>
    <row r="51" spans="2:44" x14ac:dyDescent="0.25">
      <c r="B51" s="58" t="s">
        <v>349</v>
      </c>
      <c r="C51" s="59">
        <v>-8461</v>
      </c>
      <c r="D51" s="59">
        <v>-10079</v>
      </c>
      <c r="E51" s="59">
        <v>-11945</v>
      </c>
      <c r="F51" s="60">
        <f>-'Annahmen'!D262</f>
      </c>
      <c r="G51" s="60">
        <f>-'Annahmen'!E262</f>
      </c>
      <c r="H51" s="60">
        <f>-'Annahmen'!F262</f>
      </c>
      <c r="I51" s="60">
        <f>-'Annahmen'!G262</f>
      </c>
      <c r="J51" s="60">
        <f>-'Annahmen'!H262</f>
      </c>
      <c r="K51" s="60">
        <f>-'Annahmen'!I262</f>
      </c>
      <c r="L51" s="60">
        <f>-'Annahmen'!J262</f>
      </c>
      <c r="M51" s="60">
        <f>-'Annahmen'!K262</f>
      </c>
      <c r="N51" s="60">
        <f>-'Annahmen'!L262</f>
      </c>
      <c r="O51" s="60">
        <f>-'Annahmen'!M262</f>
      </c>
      <c r="P51" s="60">
        <f>-'Annahmen'!N262</f>
      </c>
      <c r="Q51" s="60">
        <f>-'Annahmen'!O262</f>
      </c>
      <c r="R51" s="61">
        <f>SUM(F51:Q51)</f>
      </c>
      <c r="S51" s="60">
        <f>-'Annahmen'!Q262</f>
      </c>
      <c r="T51" s="60">
        <f>-'Annahmen'!R262</f>
      </c>
      <c r="U51" s="60">
        <f>-'Annahmen'!S262</f>
      </c>
      <c r="V51" s="60">
        <f>-'Annahmen'!T262</f>
      </c>
      <c r="W51" s="60">
        <f>-'Annahmen'!U262</f>
      </c>
      <c r="X51" s="60">
        <f>-'Annahmen'!V262</f>
      </c>
      <c r="Y51" s="60">
        <f>-'Annahmen'!W262</f>
      </c>
      <c r="Z51" s="60">
        <f>-'Annahmen'!X262</f>
      </c>
      <c r="AA51" s="60">
        <f>-'Annahmen'!Y262</f>
      </c>
      <c r="AB51" s="60">
        <f>-'Annahmen'!Z262</f>
      </c>
      <c r="AC51" s="60">
        <f>-'Annahmen'!AA262</f>
      </c>
      <c r="AD51" s="60">
        <f>-'Annahmen'!AB262</f>
      </c>
      <c r="AE51" s="61">
        <f>SUM(S51:AD51)</f>
      </c>
      <c r="AF51" s="60">
        <f>-'Annahmen'!AD262</f>
      </c>
      <c r="AG51" s="60">
        <f>-'Annahmen'!AE262</f>
      </c>
      <c r="AH51" s="60">
        <f>-'Annahmen'!AF262</f>
      </c>
      <c r="AI51" s="60">
        <f>-'Annahmen'!AG262</f>
      </c>
      <c r="AJ51" s="60">
        <f>-'Annahmen'!AH262</f>
      </c>
      <c r="AK51" s="60">
        <f>-'Annahmen'!AI262</f>
      </c>
      <c r="AL51" s="60">
        <f>-'Annahmen'!AJ262</f>
      </c>
      <c r="AM51" s="60">
        <f>-'Annahmen'!AK262</f>
      </c>
      <c r="AN51" s="60">
        <f>-'Annahmen'!AL262</f>
      </c>
      <c r="AO51" s="60">
        <f>-'Annahmen'!AM262</f>
      </c>
      <c r="AP51" s="60">
        <f>-'Annahmen'!AN262</f>
      </c>
      <c r="AQ51" s="60">
        <f>-'Annahmen'!AO262</f>
      </c>
      <c r="AR51" s="61">
        <f>SUM(AF51:AQ51)</f>
      </c>
    </row>
    <row r="52" spans="2:44" x14ac:dyDescent="0.25">
      <c r="B52" s="29" t="s">
        <v>350</v>
      </c>
      <c r="C52" s="62">
        <v>284000</v>
      </c>
      <c r="D52" s="62">
        <v>616000</v>
      </c>
      <c r="E52" s="62">
        <v>1062000</v>
      </c>
      <c r="F52" s="63">
        <f>F18+F20+F21+F33</f>
      </c>
      <c r="G52" s="63">
        <f>G18+G20+G21+G33</f>
      </c>
      <c r="H52" s="63">
        <f>H18+H20+H21+H33</f>
      </c>
      <c r="I52" s="63">
        <f>I18+I20+I21+I33</f>
      </c>
      <c r="J52" s="63">
        <f>J18+J20+J21+J33</f>
      </c>
      <c r="K52" s="63">
        <f>K18+K20+K21+K33</f>
      </c>
      <c r="L52" s="63">
        <f>L18+L20+L21+L33</f>
      </c>
      <c r="M52" s="63">
        <f>M18+M20+M21+M33</f>
      </c>
      <c r="N52" s="63">
        <f>N18+N20+N21+N33</f>
      </c>
      <c r="O52" s="63">
        <f>O18+O20+O21+O33</f>
      </c>
      <c r="P52" s="63">
        <f>P18+P20+P21+P33</f>
      </c>
      <c r="Q52" s="63">
        <f>Q18+Q20+Q21+Q33</f>
      </c>
      <c r="R52" s="64">
        <f>SUM(F52:Q52)</f>
      </c>
      <c r="S52" s="63">
        <f>S18+S20+S21+S33</f>
      </c>
      <c r="T52" s="63">
        <f>T18+T20+T21+T33</f>
      </c>
      <c r="U52" s="63">
        <f>U18+U20+U21+U33</f>
      </c>
      <c r="V52" s="63">
        <f>V18+V20+V21+V33</f>
      </c>
      <c r="W52" s="63">
        <f>W18+W20+W21+W33</f>
      </c>
      <c r="X52" s="63">
        <f>X18+X20+X21+X33</f>
      </c>
      <c r="Y52" s="63">
        <f>Y18+Y20+Y21+Y33</f>
      </c>
      <c r="Z52" s="63">
        <f>Z18+Z20+Z21+Z33</f>
      </c>
      <c r="AA52" s="63">
        <f>AA18+AA20+AA21+AA33</f>
      </c>
      <c r="AB52" s="63">
        <f>AB18+AB20+AB21+AB33</f>
      </c>
      <c r="AC52" s="63">
        <f>AC18+AC20+AC21+AC33</f>
      </c>
      <c r="AD52" s="63">
        <f>AD18+AD20+AD21+AD33</f>
      </c>
      <c r="AE52" s="64">
        <f>SUM(S52:AD52)</f>
      </c>
      <c r="AF52" s="63">
        <f>AF18+AF20+AF21+AF33</f>
      </c>
      <c r="AG52" s="63">
        <f>AG18+AG20+AG21+AG33</f>
      </c>
      <c r="AH52" s="63">
        <f>AH18+AH20+AH21+AH33</f>
      </c>
      <c r="AI52" s="63">
        <f>AI18+AI20+AI21+AI33</f>
      </c>
      <c r="AJ52" s="63">
        <f>AJ18+AJ20+AJ21+AJ33</f>
      </c>
      <c r="AK52" s="63">
        <f>AK18+AK20+AK21+AK33</f>
      </c>
      <c r="AL52" s="63">
        <f>AL18+AL20+AL21+AL33</f>
      </c>
      <c r="AM52" s="63">
        <f>AM18+AM20+AM21+AM33</f>
      </c>
      <c r="AN52" s="63">
        <f>AN18+AN20+AN21+AN33</f>
      </c>
      <c r="AO52" s="63">
        <f>AO18+AO20+AO21+AO33</f>
      </c>
      <c r="AP52" s="63">
        <f>AP18+AP20+AP21+AP33</f>
      </c>
      <c r="AQ52" s="63">
        <f>AQ18+AQ20+AQ21+AQ33</f>
      </c>
      <c r="AR52" s="64">
        <f>SUM(AF52:AQ52)</f>
      </c>
    </row>
    <row r="53" spans="2:44" x14ac:dyDescent="0.25">
      <c r="B53" s="19" t="s">
        <v>351</v>
      </c>
      <c r="C53" s="59">
        <v>-78000</v>
      </c>
      <c r="D53" s="59">
        <v>-88000</v>
      </c>
      <c r="E53" s="59">
        <v>-98000</v>
      </c>
      <c r="F53" s="60">
        <f>-'Annahmen'!D233</f>
      </c>
      <c r="G53" s="60">
        <f>-'Annahmen'!E233</f>
      </c>
      <c r="H53" s="60">
        <f>-'Annahmen'!F233</f>
      </c>
      <c r="I53" s="60">
        <f>-'Annahmen'!G233</f>
      </c>
      <c r="J53" s="60">
        <f>-'Annahmen'!H233</f>
      </c>
      <c r="K53" s="60">
        <f>-'Annahmen'!I233</f>
      </c>
      <c r="L53" s="60">
        <f>-'Annahmen'!J233</f>
      </c>
      <c r="M53" s="60">
        <f>-'Annahmen'!K233</f>
      </c>
      <c r="N53" s="60">
        <f>-'Annahmen'!L233</f>
      </c>
      <c r="O53" s="60">
        <f>-'Annahmen'!M233</f>
      </c>
      <c r="P53" s="60">
        <f>-'Annahmen'!N233</f>
      </c>
      <c r="Q53" s="60">
        <f>-'Annahmen'!O233</f>
      </c>
      <c r="R53" s="61">
        <f>SUM(F53:Q53)</f>
      </c>
      <c r="S53" s="60">
        <f>-'Annahmen'!Q233</f>
      </c>
      <c r="T53" s="60">
        <f>-'Annahmen'!R233</f>
      </c>
      <c r="U53" s="60">
        <f>-'Annahmen'!S233</f>
      </c>
      <c r="V53" s="60">
        <f>-'Annahmen'!T233</f>
      </c>
      <c r="W53" s="60">
        <f>-'Annahmen'!U233</f>
      </c>
      <c r="X53" s="60">
        <f>-'Annahmen'!V233</f>
      </c>
      <c r="Y53" s="60">
        <f>-'Annahmen'!W233</f>
      </c>
      <c r="Z53" s="60">
        <f>-'Annahmen'!X233</f>
      </c>
      <c r="AA53" s="60">
        <f>-'Annahmen'!Y233</f>
      </c>
      <c r="AB53" s="60">
        <f>-'Annahmen'!Z233</f>
      </c>
      <c r="AC53" s="60">
        <f>-'Annahmen'!AA233</f>
      </c>
      <c r="AD53" s="60">
        <f>-'Annahmen'!AB233</f>
      </c>
      <c r="AE53" s="61">
        <f>SUM(S53:AD53)</f>
      </c>
      <c r="AF53" s="60">
        <f>-'Annahmen'!AD233</f>
      </c>
      <c r="AG53" s="60">
        <f>-'Annahmen'!AE233</f>
      </c>
      <c r="AH53" s="60">
        <f>-'Annahmen'!AF233</f>
      </c>
      <c r="AI53" s="60">
        <f>-'Annahmen'!AG233</f>
      </c>
      <c r="AJ53" s="60">
        <f>-'Annahmen'!AH233</f>
      </c>
      <c r="AK53" s="60">
        <f>-'Annahmen'!AI233</f>
      </c>
      <c r="AL53" s="60">
        <f>-'Annahmen'!AJ233</f>
      </c>
      <c r="AM53" s="60">
        <f>-'Annahmen'!AK233</f>
      </c>
      <c r="AN53" s="60">
        <f>-'Annahmen'!AL233</f>
      </c>
      <c r="AO53" s="60">
        <f>-'Annahmen'!AM233</f>
      </c>
      <c r="AP53" s="60">
        <f>-'Annahmen'!AN233</f>
      </c>
      <c r="AQ53" s="60">
        <f>-'Annahmen'!AO233</f>
      </c>
      <c r="AR53" s="61">
        <f>SUM(AF53:AQ53)</f>
      </c>
    </row>
    <row r="54" spans="2:44" x14ac:dyDescent="0.25">
      <c r="B54" s="29" t="s">
        <v>352</v>
      </c>
      <c r="C54" s="62">
        <v>206000</v>
      </c>
      <c r="D54" s="62">
        <v>528000</v>
      </c>
      <c r="E54" s="62">
        <v>964000</v>
      </c>
      <c r="F54" s="63">
        <f>F52+F53</f>
      </c>
      <c r="G54" s="63">
        <f>G52+G53</f>
      </c>
      <c r="H54" s="63">
        <f>H52+H53</f>
      </c>
      <c r="I54" s="63">
        <f>I52+I53</f>
      </c>
      <c r="J54" s="63">
        <f>J52+J53</f>
      </c>
      <c r="K54" s="63">
        <f>K52+K53</f>
      </c>
      <c r="L54" s="63">
        <f>L52+L53</f>
      </c>
      <c r="M54" s="63">
        <f>M52+M53</f>
      </c>
      <c r="N54" s="63">
        <f>N52+N53</f>
      </c>
      <c r="O54" s="63">
        <f>O52+O53</f>
      </c>
      <c r="P54" s="63">
        <f>P52+P53</f>
      </c>
      <c r="Q54" s="63">
        <f>Q52+Q53</f>
      </c>
      <c r="R54" s="64">
        <f>SUM(F54:Q54)</f>
      </c>
      <c r="S54" s="63">
        <f>S52+S53</f>
      </c>
      <c r="T54" s="63">
        <f>T52+T53</f>
      </c>
      <c r="U54" s="63">
        <f>U52+U53</f>
      </c>
      <c r="V54" s="63">
        <f>V52+V53</f>
      </c>
      <c r="W54" s="63">
        <f>W52+W53</f>
      </c>
      <c r="X54" s="63">
        <f>X52+X53</f>
      </c>
      <c r="Y54" s="63">
        <f>Y52+Y53</f>
      </c>
      <c r="Z54" s="63">
        <f>Z52+Z53</f>
      </c>
      <c r="AA54" s="63">
        <f>AA52+AA53</f>
      </c>
      <c r="AB54" s="63">
        <f>AB52+AB53</f>
      </c>
      <c r="AC54" s="63">
        <f>AC52+AC53</f>
      </c>
      <c r="AD54" s="63">
        <f>AD52+AD53</f>
      </c>
      <c r="AE54" s="64">
        <f>SUM(S54:AD54)</f>
      </c>
      <c r="AF54" s="63">
        <f>AF52+AF53</f>
      </c>
      <c r="AG54" s="63">
        <f>AG52+AG53</f>
      </c>
      <c r="AH54" s="63">
        <f>AH52+AH53</f>
      </c>
      <c r="AI54" s="63">
        <f>AI52+AI53</f>
      </c>
      <c r="AJ54" s="63">
        <f>AJ52+AJ53</f>
      </c>
      <c r="AK54" s="63">
        <f>AK52+AK53</f>
      </c>
      <c r="AL54" s="63">
        <f>AL52+AL53</f>
      </c>
      <c r="AM54" s="63">
        <f>AM52+AM53</f>
      </c>
      <c r="AN54" s="63">
        <f>AN52+AN53</f>
      </c>
      <c r="AO54" s="63">
        <f>AO52+AO53</f>
      </c>
      <c r="AP54" s="63">
        <f>AP52+AP53</f>
      </c>
      <c r="AQ54" s="63">
        <f>AQ52+AQ53</f>
      </c>
      <c r="AR54" s="64">
        <f>SUM(AF54:AQ54)</f>
      </c>
    </row>
    <row r="55" spans="2:44" x14ac:dyDescent="0.25">
      <c r="B55" s="19" t="s">
        <v>353</v>
      </c>
      <c r="C55" s="59">
        <v>-48000</v>
      </c>
      <c r="D55" s="59">
        <v>-52000</v>
      </c>
      <c r="E55" s="59">
        <v>-58000</v>
      </c>
      <c r="F55" s="60">
        <f>-'Annahmen'!D239</f>
      </c>
      <c r="G55" s="60">
        <f>-'Annahmen'!E239</f>
      </c>
      <c r="H55" s="60">
        <f>-'Annahmen'!F239</f>
      </c>
      <c r="I55" s="60">
        <f>-'Annahmen'!G239</f>
      </c>
      <c r="J55" s="60">
        <f>-'Annahmen'!H239</f>
      </c>
      <c r="K55" s="60">
        <f>-'Annahmen'!I239</f>
      </c>
      <c r="L55" s="60">
        <f>-'Annahmen'!J239</f>
      </c>
      <c r="M55" s="60">
        <f>-'Annahmen'!K239</f>
      </c>
      <c r="N55" s="60">
        <f>-'Annahmen'!L239</f>
      </c>
      <c r="O55" s="60">
        <f>-'Annahmen'!M239</f>
      </c>
      <c r="P55" s="60">
        <f>-'Annahmen'!N239</f>
      </c>
      <c r="Q55" s="60">
        <f>-'Annahmen'!O239</f>
      </c>
      <c r="R55" s="61">
        <f>SUM(F55:Q55)</f>
      </c>
      <c r="S55" s="60">
        <f>-'Annahmen'!Q239</f>
      </c>
      <c r="T55" s="60">
        <f>-'Annahmen'!R239</f>
      </c>
      <c r="U55" s="60">
        <f>-'Annahmen'!S239</f>
      </c>
      <c r="V55" s="60">
        <f>-'Annahmen'!T239</f>
      </c>
      <c r="W55" s="60">
        <f>-'Annahmen'!U239</f>
      </c>
      <c r="X55" s="60">
        <f>-'Annahmen'!V239</f>
      </c>
      <c r="Y55" s="60">
        <f>-'Annahmen'!W239</f>
      </c>
      <c r="Z55" s="60">
        <f>-'Annahmen'!X239</f>
      </c>
      <c r="AA55" s="60">
        <f>-'Annahmen'!Y239</f>
      </c>
      <c r="AB55" s="60">
        <f>-'Annahmen'!Z239</f>
      </c>
      <c r="AC55" s="60">
        <f>-'Annahmen'!AA239</f>
      </c>
      <c r="AD55" s="60">
        <f>-'Annahmen'!AB239</f>
      </c>
      <c r="AE55" s="61">
        <f>SUM(S55:AD55)</f>
      </c>
      <c r="AF55" s="60">
        <f>-'Annahmen'!AD239</f>
      </c>
      <c r="AG55" s="60">
        <f>-'Annahmen'!AE239</f>
      </c>
      <c r="AH55" s="60">
        <f>-'Annahmen'!AF239</f>
      </c>
      <c r="AI55" s="60">
        <f>-'Annahmen'!AG239</f>
      </c>
      <c r="AJ55" s="60">
        <f>-'Annahmen'!AH239</f>
      </c>
      <c r="AK55" s="60">
        <f>-'Annahmen'!AI239</f>
      </c>
      <c r="AL55" s="60">
        <f>-'Annahmen'!AJ239</f>
      </c>
      <c r="AM55" s="60">
        <f>-'Annahmen'!AK239</f>
      </c>
      <c r="AN55" s="60">
        <f>-'Annahmen'!AL239</f>
      </c>
      <c r="AO55" s="60">
        <f>-'Annahmen'!AM239</f>
      </c>
      <c r="AP55" s="60">
        <f>-'Annahmen'!AN239</f>
      </c>
      <c r="AQ55" s="60">
        <f>-'Annahmen'!AO239</f>
      </c>
      <c r="AR55" s="61">
        <f>SUM(AF55:AQ55)</f>
      </c>
    </row>
    <row r="56" spans="2:44" x14ac:dyDescent="0.25">
      <c r="B56" s="19" t="s">
        <v>354</v>
      </c>
      <c r="C56" s="59">
        <v>0</v>
      </c>
      <c r="D56" s="59">
        <v>0</v>
      </c>
      <c r="E56" s="59">
        <v>0</v>
      </c>
      <c r="F56" s="60">
        <f>'Annahmen'!$C$167/12*MAX(0,'Bilanz'!F4)</f>
      </c>
      <c r="G56" s="60">
        <f>'Annahmen'!$C$167/12*MAX(0,'Kapitalflussrechnung'!F26)</f>
      </c>
      <c r="H56" s="60">
        <f>'Annahmen'!$C$167/12*MAX(0,'Kapitalflussrechnung'!G26)</f>
      </c>
      <c r="I56" s="60">
        <f>'Annahmen'!$C$167/12*MAX(0,'Kapitalflussrechnung'!H26)</f>
      </c>
      <c r="J56" s="60">
        <f>'Annahmen'!$C$167/12*MAX(0,'Kapitalflussrechnung'!I26)</f>
      </c>
      <c r="K56" s="60">
        <f>'Annahmen'!$C$167/12*MAX(0,'Kapitalflussrechnung'!J26)</f>
      </c>
      <c r="L56" s="60">
        <f>'Annahmen'!$C$167/12*MAX(0,'Kapitalflussrechnung'!K26)</f>
      </c>
      <c r="M56" s="60">
        <f>'Annahmen'!$C$167/12*MAX(0,'Kapitalflussrechnung'!L26)</f>
      </c>
      <c r="N56" s="60">
        <f>'Annahmen'!$C$167/12*MAX(0,'Kapitalflussrechnung'!M26)</f>
      </c>
      <c r="O56" s="60">
        <f>'Annahmen'!$C$167/12*MAX(0,'Kapitalflussrechnung'!N26)</f>
      </c>
      <c r="P56" s="60">
        <f>'Annahmen'!$C$167/12*MAX(0,'Kapitalflussrechnung'!O26)</f>
      </c>
      <c r="Q56" s="60">
        <f>'Annahmen'!$C$167/12*MAX(0,'Kapitalflussrechnung'!P26)</f>
      </c>
      <c r="R56" s="61">
        <f>SUM(F56:Q56)</f>
      </c>
      <c r="S56" s="60">
        <f>'Annahmen'!$C$167/12*MAX(0,'Kapitalflussrechnung'!Q26)</f>
      </c>
      <c r="T56" s="60">
        <f>'Annahmen'!$C$167/12*MAX(0,'Kapitalflussrechnung'!S26)</f>
      </c>
      <c r="U56" s="60">
        <f>'Annahmen'!$C$167/12*MAX(0,'Kapitalflussrechnung'!T26)</f>
      </c>
      <c r="V56" s="60">
        <f>'Annahmen'!$C$167/12*MAX(0,'Kapitalflussrechnung'!U26)</f>
      </c>
      <c r="W56" s="60">
        <f>'Annahmen'!$C$167/12*MAX(0,'Kapitalflussrechnung'!V26)</f>
      </c>
      <c r="X56" s="60">
        <f>'Annahmen'!$C$167/12*MAX(0,'Kapitalflussrechnung'!W26)</f>
      </c>
      <c r="Y56" s="60">
        <f>'Annahmen'!$C$167/12*MAX(0,'Kapitalflussrechnung'!X26)</f>
      </c>
      <c r="Z56" s="60">
        <f>'Annahmen'!$C$167/12*MAX(0,'Kapitalflussrechnung'!Y26)</f>
      </c>
      <c r="AA56" s="60">
        <f>'Annahmen'!$C$167/12*MAX(0,'Kapitalflussrechnung'!Z26)</f>
      </c>
      <c r="AB56" s="60">
        <f>'Annahmen'!$C$167/12*MAX(0,'Kapitalflussrechnung'!AA26)</f>
      </c>
      <c r="AC56" s="60">
        <f>'Annahmen'!$C$167/12*MAX(0,'Kapitalflussrechnung'!AB26)</f>
      </c>
      <c r="AD56" s="60">
        <f>'Annahmen'!$C$167/12*MAX(0,'Kapitalflussrechnung'!AC26)</f>
      </c>
      <c r="AE56" s="61">
        <f>SUM(S56:AD56)</f>
      </c>
      <c r="AF56" s="60">
        <f>'Annahmen'!$C$167/12*MAX(0,'Kapitalflussrechnung'!AD26)</f>
      </c>
      <c r="AG56" s="60">
        <f>'Annahmen'!$C$167/12*MAX(0,'Kapitalflussrechnung'!AF26)</f>
      </c>
      <c r="AH56" s="60">
        <f>'Annahmen'!$C$167/12*MAX(0,'Kapitalflussrechnung'!AG26)</f>
      </c>
      <c r="AI56" s="60">
        <f>'Annahmen'!$C$167/12*MAX(0,'Kapitalflussrechnung'!AH26)</f>
      </c>
      <c r="AJ56" s="60">
        <f>'Annahmen'!$C$167/12*MAX(0,'Kapitalflussrechnung'!AI26)</f>
      </c>
      <c r="AK56" s="60">
        <f>'Annahmen'!$C$167/12*MAX(0,'Kapitalflussrechnung'!AJ26)</f>
      </c>
      <c r="AL56" s="60">
        <f>'Annahmen'!$C$167/12*MAX(0,'Kapitalflussrechnung'!AK26)</f>
      </c>
      <c r="AM56" s="60">
        <f>'Annahmen'!$C$167/12*MAX(0,'Kapitalflussrechnung'!AL26)</f>
      </c>
      <c r="AN56" s="60">
        <f>'Annahmen'!$C$167/12*MAX(0,'Kapitalflussrechnung'!AM26)</f>
      </c>
      <c r="AO56" s="60">
        <f>'Annahmen'!$C$167/12*MAX(0,'Kapitalflussrechnung'!AN26)</f>
      </c>
      <c r="AP56" s="60">
        <f>'Annahmen'!$C$167/12*MAX(0,'Kapitalflussrechnung'!AO26)</f>
      </c>
      <c r="AQ56" s="60">
        <f>'Annahmen'!$C$167/12*MAX(0,'Kapitalflussrechnung'!AP26)</f>
      </c>
      <c r="AR56" s="61">
        <f>SUM(AF56:AQ56)</f>
      </c>
    </row>
    <row r="57" spans="2:44" x14ac:dyDescent="0.25">
      <c r="B57" s="29" t="s">
        <v>355</v>
      </c>
      <c r="C57" s="62">
        <v>158000</v>
      </c>
      <c r="D57" s="62">
        <v>476000</v>
      </c>
      <c r="E57" s="62">
        <v>906000</v>
      </c>
      <c r="F57" s="63">
        <f>F54+F55+F56</f>
      </c>
      <c r="G57" s="63">
        <f>G54+G55+G56</f>
      </c>
      <c r="H57" s="63">
        <f>H54+H55+H56</f>
      </c>
      <c r="I57" s="63">
        <f>I54+I55+I56</f>
      </c>
      <c r="J57" s="63">
        <f>J54+J55+J56</f>
      </c>
      <c r="K57" s="63">
        <f>K54+K55+K56</f>
      </c>
      <c r="L57" s="63">
        <f>L54+L55+L56</f>
      </c>
      <c r="M57" s="63">
        <f>M54+M55+M56</f>
      </c>
      <c r="N57" s="63">
        <f>N54+N55+N56</f>
      </c>
      <c r="O57" s="63">
        <f>O54+O55+O56</f>
      </c>
      <c r="P57" s="63">
        <f>P54+P55+P56</f>
      </c>
      <c r="Q57" s="63">
        <f>Q54+Q55+Q56</f>
      </c>
      <c r="R57" s="64">
        <f>SUM(F57:Q57)</f>
      </c>
      <c r="S57" s="63">
        <f>S54+S55+S56</f>
      </c>
      <c r="T57" s="63">
        <f>T54+T55+T56</f>
      </c>
      <c r="U57" s="63">
        <f>U54+U55+U56</f>
      </c>
      <c r="V57" s="63">
        <f>V54+V55+V56</f>
      </c>
      <c r="W57" s="63">
        <f>W54+W55+W56</f>
      </c>
      <c r="X57" s="63">
        <f>X54+X55+X56</f>
      </c>
      <c r="Y57" s="63">
        <f>Y54+Y55+Y56</f>
      </c>
      <c r="Z57" s="63">
        <f>Z54+Z55+Z56</f>
      </c>
      <c r="AA57" s="63">
        <f>AA54+AA55+AA56</f>
      </c>
      <c r="AB57" s="63">
        <f>AB54+AB55+AB56</f>
      </c>
      <c r="AC57" s="63">
        <f>AC54+AC55+AC56</f>
      </c>
      <c r="AD57" s="63">
        <f>AD54+AD55+AD56</f>
      </c>
      <c r="AE57" s="64">
        <f>SUM(S57:AD57)</f>
      </c>
      <c r="AF57" s="63">
        <f>AF54+AF55+AF56</f>
      </c>
      <c r="AG57" s="63">
        <f>AG54+AG55+AG56</f>
      </c>
      <c r="AH57" s="63">
        <f>AH54+AH55+AH56</f>
      </c>
      <c r="AI57" s="63">
        <f>AI54+AI55+AI56</f>
      </c>
      <c r="AJ57" s="63">
        <f>AJ54+AJ55+AJ56</f>
      </c>
      <c r="AK57" s="63">
        <f>AK54+AK55+AK56</f>
      </c>
      <c r="AL57" s="63">
        <f>AL54+AL55+AL56</f>
      </c>
      <c r="AM57" s="63">
        <f>AM54+AM55+AM56</f>
      </c>
      <c r="AN57" s="63">
        <f>AN54+AN55+AN56</f>
      </c>
      <c r="AO57" s="63">
        <f>AO54+AO55+AO56</f>
      </c>
      <c r="AP57" s="63">
        <f>AP54+AP55+AP56</f>
      </c>
      <c r="AQ57" s="63">
        <f>AQ54+AQ55+AQ56</f>
      </c>
      <c r="AR57" s="64">
        <f>SUM(AF57:AQ57)</f>
      </c>
    </row>
    <row r="58" spans="2:44" x14ac:dyDescent="0.25">
      <c r="B58" s="19" t="s">
        <v>356</v>
      </c>
      <c r="C58" s="59">
        <v>-22000</v>
      </c>
      <c r="D58" s="59">
        <v>-52000</v>
      </c>
      <c r="E58" s="59">
        <v>-95000</v>
      </c>
      <c r="F58" s="60">
        <f>0</f>
      </c>
      <c r="G58" s="60">
        <f>0</f>
      </c>
      <c r="H58" s="60">
        <f>0</f>
      </c>
      <c r="I58" s="60">
        <f>0</f>
      </c>
      <c r="J58" s="60">
        <f>0</f>
      </c>
      <c r="K58" s="60">
        <f>0</f>
      </c>
      <c r="L58" s="60">
        <f>0</f>
      </c>
      <c r="M58" s="60">
        <f>0</f>
      </c>
      <c r="N58" s="60">
        <f>0</f>
      </c>
      <c r="O58" s="60">
        <f>0</f>
      </c>
      <c r="P58" s="60">
        <f>0</f>
      </c>
      <c r="Q58" s="60">
        <f>-MAX(0,SUM(F57:Q57))*'Annahmen'!$C$163</f>
      </c>
      <c r="R58" s="61">
        <f>SUM(F58:Q58)</f>
      </c>
      <c r="S58" s="60">
        <f>0</f>
      </c>
      <c r="T58" s="60">
        <f>0</f>
      </c>
      <c r="U58" s="60">
        <f>0</f>
      </c>
      <c r="V58" s="60">
        <f>0</f>
      </c>
      <c r="W58" s="60">
        <f>0</f>
      </c>
      <c r="X58" s="60">
        <f>0</f>
      </c>
      <c r="Y58" s="60">
        <f>0</f>
      </c>
      <c r="Z58" s="60">
        <f>0</f>
      </c>
      <c r="AA58" s="60">
        <f>0</f>
      </c>
      <c r="AB58" s="60">
        <f>0</f>
      </c>
      <c r="AC58" s="60">
        <f>0</f>
      </c>
      <c r="AD58" s="60">
        <f>-MAX(0,SUM(S57:AD57))*'Annahmen'!$C$163</f>
      </c>
      <c r="AE58" s="61">
        <f>SUM(S58:AD58)</f>
      </c>
      <c r="AF58" s="60">
        <f>0</f>
      </c>
      <c r="AG58" s="60">
        <f>0</f>
      </c>
      <c r="AH58" s="60">
        <f>0</f>
      </c>
      <c r="AI58" s="60">
        <f>0</f>
      </c>
      <c r="AJ58" s="60">
        <f>0</f>
      </c>
      <c r="AK58" s="60">
        <f>0</f>
      </c>
      <c r="AL58" s="60">
        <f>0</f>
      </c>
      <c r="AM58" s="60">
        <f>0</f>
      </c>
      <c r="AN58" s="60">
        <f>0</f>
      </c>
      <c r="AO58" s="60">
        <f>0</f>
      </c>
      <c r="AP58" s="60">
        <f>0</f>
      </c>
      <c r="AQ58" s="60">
        <f>-MAX(0,SUM(AF57:AQ57))*'Annahmen'!$C$163</f>
      </c>
      <c r="AR58" s="61">
        <f>SUM(AF58:AQ58)</f>
      </c>
    </row>
    <row r="59" spans="2:44" x14ac:dyDescent="0.25">
      <c r="B59" s="29" t="s">
        <v>357</v>
      </c>
      <c r="C59" s="66">
        <v>136000</v>
      </c>
      <c r="D59" s="66">
        <v>424000</v>
      </c>
      <c r="E59" s="66">
        <v>811000</v>
      </c>
      <c r="F59" s="67">
        <f>F57+F58</f>
      </c>
      <c r="G59" s="67">
        <f>G57+G58</f>
      </c>
      <c r="H59" s="67">
        <f>H57+H58</f>
      </c>
      <c r="I59" s="67">
        <f>I57+I58</f>
      </c>
      <c r="J59" s="67">
        <f>J57+J58</f>
      </c>
      <c r="K59" s="67">
        <f>K57+K58</f>
      </c>
      <c r="L59" s="67">
        <f>L57+L58</f>
      </c>
      <c r="M59" s="67">
        <f>M57+M58</f>
      </c>
      <c r="N59" s="67">
        <f>N57+N58</f>
      </c>
      <c r="O59" s="67">
        <f>O57+O58</f>
      </c>
      <c r="P59" s="67">
        <f>P57+P58</f>
      </c>
      <c r="Q59" s="67">
        <f>Q57+Q58</f>
      </c>
      <c r="R59" s="68">
        <f>SUM(F59:Q59)</f>
      </c>
      <c r="S59" s="67">
        <f>S57+S58</f>
      </c>
      <c r="T59" s="67">
        <f>T57+T58</f>
      </c>
      <c r="U59" s="67">
        <f>U57+U58</f>
      </c>
      <c r="V59" s="67">
        <f>V57+V58</f>
      </c>
      <c r="W59" s="67">
        <f>W57+W58</f>
      </c>
      <c r="X59" s="67">
        <f>X57+X58</f>
      </c>
      <c r="Y59" s="67">
        <f>Y57+Y58</f>
      </c>
      <c r="Z59" s="67">
        <f>Z57+Z58</f>
      </c>
      <c r="AA59" s="67">
        <f>AA57+AA58</f>
      </c>
      <c r="AB59" s="67">
        <f>AB57+AB58</f>
      </c>
      <c r="AC59" s="67">
        <f>AC57+AC58</f>
      </c>
      <c r="AD59" s="67">
        <f>AD57+AD58</f>
      </c>
      <c r="AE59" s="68">
        <f>SUM(S59:AD59)</f>
      </c>
      <c r="AF59" s="67">
        <f>AF57+AF58</f>
      </c>
      <c r="AG59" s="67">
        <f>AG57+AG58</f>
      </c>
      <c r="AH59" s="67">
        <f>AH57+AH58</f>
      </c>
      <c r="AI59" s="67">
        <f>AI57+AI58</f>
      </c>
      <c r="AJ59" s="67">
        <f>AJ57+AJ58</f>
      </c>
      <c r="AK59" s="67">
        <f>AK57+AK58</f>
      </c>
      <c r="AL59" s="67">
        <f>AL57+AL58</f>
      </c>
      <c r="AM59" s="67">
        <f>AM57+AM58</f>
      </c>
      <c r="AN59" s="67">
        <f>AN57+AN58</f>
      </c>
      <c r="AO59" s="67">
        <f>AO57+AO58</f>
      </c>
      <c r="AP59" s="67">
        <f>AP57+AP58</f>
      </c>
      <c r="AQ59" s="67">
        <f>AQ57+AQ58</f>
      </c>
      <c r="AR59" s="68">
        <f>SUM(AF59:AQ59)</f>
      </c>
    </row>
    <row r="61" spans="2:44" x14ac:dyDescent="0.25">
      <c r="B61" s="52" t="s">
        <v>358</v>
      </c>
      <c r="C61" s="69"/>
      <c r="D61" s="69"/>
      <c r="E61" s="69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69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69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69"/>
    </row>
    <row r="62" spans="2:44" x14ac:dyDescent="0.25">
      <c r="B62" s="19" t="s">
        <v>359</v>
      </c>
      <c r="C62" s="71">
        <f>IFERROR(C18/C4,0)</f>
      </c>
      <c r="D62" s="71">
        <f>IFERROR(D18/D4,0)</f>
      </c>
      <c r="E62" s="71">
        <f>IFERROR(E18/E4,0)</f>
      </c>
      <c r="F62" s="72">
        <f>IFERROR(F18/F4,0)</f>
      </c>
      <c r="G62" s="72">
        <f>IFERROR(G18/G4,0)</f>
      </c>
      <c r="H62" s="72">
        <f>IFERROR(H18/H4,0)</f>
      </c>
      <c r="I62" s="72">
        <f>IFERROR(I18/I4,0)</f>
      </c>
      <c r="J62" s="72">
        <f>IFERROR(J18/J4,0)</f>
      </c>
      <c r="K62" s="72">
        <f>IFERROR(K18/K4,0)</f>
      </c>
      <c r="L62" s="72">
        <f>IFERROR(L18/L4,0)</f>
      </c>
      <c r="M62" s="72">
        <f>IFERROR(M18/M4,0)</f>
      </c>
      <c r="N62" s="72">
        <f>IFERROR(N18/N4,0)</f>
      </c>
      <c r="O62" s="72">
        <f>IFERROR(O18/O4,0)</f>
      </c>
      <c r="P62" s="72">
        <f>IFERROR(P18/P4,0)</f>
      </c>
      <c r="Q62" s="72">
        <f>IFERROR(Q18/Q4,0)</f>
      </c>
      <c r="R62" s="71">
        <f>IFERROR(R18/R4,0)</f>
      </c>
      <c r="S62" s="72">
        <f>IFERROR(S18/S4,0)</f>
      </c>
      <c r="T62" s="72">
        <f>IFERROR(T18/T4,0)</f>
      </c>
      <c r="U62" s="72">
        <f>IFERROR(U18/U4,0)</f>
      </c>
      <c r="V62" s="72">
        <f>IFERROR(V18/V4,0)</f>
      </c>
      <c r="W62" s="72">
        <f>IFERROR(W18/W4,0)</f>
      </c>
      <c r="X62" s="72">
        <f>IFERROR(X18/X4,0)</f>
      </c>
      <c r="Y62" s="72">
        <f>IFERROR(Y18/Y4,0)</f>
      </c>
      <c r="Z62" s="72">
        <f>IFERROR(Z18/Z4,0)</f>
      </c>
      <c r="AA62" s="72">
        <f>IFERROR(AA18/AA4,0)</f>
      </c>
      <c r="AB62" s="72">
        <f>IFERROR(AB18/AB4,0)</f>
      </c>
      <c r="AC62" s="72">
        <f>IFERROR(AC18/AC4,0)</f>
      </c>
      <c r="AD62" s="72">
        <f>IFERROR(AD18/AD4,0)</f>
      </c>
      <c r="AE62" s="71">
        <f>IFERROR(AE18/AE4,0)</f>
      </c>
      <c r="AF62" s="72">
        <f>IFERROR(AF18/AF4,0)</f>
      </c>
      <c r="AG62" s="72">
        <f>IFERROR(AG18/AG4,0)</f>
      </c>
      <c r="AH62" s="72">
        <f>IFERROR(AH18/AH4,0)</f>
      </c>
      <c r="AI62" s="72">
        <f>IFERROR(AI18/AI4,0)</f>
      </c>
      <c r="AJ62" s="72">
        <f>IFERROR(AJ18/AJ4,0)</f>
      </c>
      <c r="AK62" s="72">
        <f>IFERROR(AK18/AK4,0)</f>
      </c>
      <c r="AL62" s="72">
        <f>IFERROR(AL18/AL4,0)</f>
      </c>
      <c r="AM62" s="72">
        <f>IFERROR(AM18/AM4,0)</f>
      </c>
      <c r="AN62" s="72">
        <f>IFERROR(AN18/AN4,0)</f>
      </c>
      <c r="AO62" s="72">
        <f>IFERROR(AO18/AO4,0)</f>
      </c>
      <c r="AP62" s="72">
        <f>IFERROR(AP18/AP4,0)</f>
      </c>
      <c r="AQ62" s="72">
        <f>IFERROR(AQ18/AQ4,0)</f>
      </c>
      <c r="AR62" s="71">
        <f>IFERROR(AR18/AR4,0)</f>
      </c>
    </row>
    <row r="63" spans="2:44" x14ac:dyDescent="0.25">
      <c r="B63" s="19" t="s">
        <v>360</v>
      </c>
      <c r="C63" s="71">
        <f>IFERROR(C52/C4,0)</f>
      </c>
      <c r="D63" s="71">
        <f>IFERROR(D52/D4,0)</f>
      </c>
      <c r="E63" s="71">
        <f>IFERROR(E52/E4,0)</f>
      </c>
      <c r="F63" s="72">
        <f>IFERROR(F52/F4,0)</f>
      </c>
      <c r="G63" s="72">
        <f>IFERROR(G52/G4,0)</f>
      </c>
      <c r="H63" s="72">
        <f>IFERROR(H52/H4,0)</f>
      </c>
      <c r="I63" s="72">
        <f>IFERROR(I52/I4,0)</f>
      </c>
      <c r="J63" s="72">
        <f>IFERROR(J52/J4,0)</f>
      </c>
      <c r="K63" s="72">
        <f>IFERROR(K52/K4,0)</f>
      </c>
      <c r="L63" s="72">
        <f>IFERROR(L52/L4,0)</f>
      </c>
      <c r="M63" s="72">
        <f>IFERROR(M52/M4,0)</f>
      </c>
      <c r="N63" s="72">
        <f>IFERROR(N52/N4,0)</f>
      </c>
      <c r="O63" s="72">
        <f>IFERROR(O52/O4,0)</f>
      </c>
      <c r="P63" s="72">
        <f>IFERROR(P52/P4,0)</f>
      </c>
      <c r="Q63" s="72">
        <f>IFERROR(Q52/Q4,0)</f>
      </c>
      <c r="R63" s="71">
        <f>IFERROR(R52/R4,0)</f>
      </c>
      <c r="S63" s="72">
        <f>IFERROR(S52/S4,0)</f>
      </c>
      <c r="T63" s="72">
        <f>IFERROR(T52/T4,0)</f>
      </c>
      <c r="U63" s="72">
        <f>IFERROR(U52/U4,0)</f>
      </c>
      <c r="V63" s="72">
        <f>IFERROR(V52/V4,0)</f>
      </c>
      <c r="W63" s="72">
        <f>IFERROR(W52/W4,0)</f>
      </c>
      <c r="X63" s="72">
        <f>IFERROR(X52/X4,0)</f>
      </c>
      <c r="Y63" s="72">
        <f>IFERROR(Y52/Y4,0)</f>
      </c>
      <c r="Z63" s="72">
        <f>IFERROR(Z52/Z4,0)</f>
      </c>
      <c r="AA63" s="72">
        <f>IFERROR(AA52/AA4,0)</f>
      </c>
      <c r="AB63" s="72">
        <f>IFERROR(AB52/AB4,0)</f>
      </c>
      <c r="AC63" s="72">
        <f>IFERROR(AC52/AC4,0)</f>
      </c>
      <c r="AD63" s="72">
        <f>IFERROR(AD52/AD4,0)</f>
      </c>
      <c r="AE63" s="71">
        <f>IFERROR(AE52/AE4,0)</f>
      </c>
      <c r="AF63" s="72">
        <f>IFERROR(AF52/AF4,0)</f>
      </c>
      <c r="AG63" s="72">
        <f>IFERROR(AG52/AG4,0)</f>
      </c>
      <c r="AH63" s="72">
        <f>IFERROR(AH52/AH4,0)</f>
      </c>
      <c r="AI63" s="72">
        <f>IFERROR(AI52/AI4,0)</f>
      </c>
      <c r="AJ63" s="72">
        <f>IFERROR(AJ52/AJ4,0)</f>
      </c>
      <c r="AK63" s="72">
        <f>IFERROR(AK52/AK4,0)</f>
      </c>
      <c r="AL63" s="72">
        <f>IFERROR(AL52/AL4,0)</f>
      </c>
      <c r="AM63" s="72">
        <f>IFERROR(AM52/AM4,0)</f>
      </c>
      <c r="AN63" s="72">
        <f>IFERROR(AN52/AN4,0)</f>
      </c>
      <c r="AO63" s="72">
        <f>IFERROR(AO52/AO4,0)</f>
      </c>
      <c r="AP63" s="72">
        <f>IFERROR(AP52/AP4,0)</f>
      </c>
      <c r="AQ63" s="72">
        <f>IFERROR(AQ52/AQ4,0)</f>
      </c>
      <c r="AR63" s="71">
        <f>IFERROR(AR52/AR4,0)</f>
      </c>
    </row>
    <row r="64" spans="2:44" x14ac:dyDescent="0.25">
      <c r="B64" s="19" t="s">
        <v>361</v>
      </c>
      <c r="C64" s="71">
        <f>IFERROR(C54/C4,0)</f>
      </c>
      <c r="D64" s="71">
        <f>IFERROR(D54/D4,0)</f>
      </c>
      <c r="E64" s="71">
        <f>IFERROR(E54/E4,0)</f>
      </c>
      <c r="F64" s="72">
        <f>IFERROR(F54/F4,0)</f>
      </c>
      <c r="G64" s="72">
        <f>IFERROR(G54/G4,0)</f>
      </c>
      <c r="H64" s="72">
        <f>IFERROR(H54/H4,0)</f>
      </c>
      <c r="I64" s="72">
        <f>IFERROR(I54/I4,0)</f>
      </c>
      <c r="J64" s="72">
        <f>IFERROR(J54/J4,0)</f>
      </c>
      <c r="K64" s="72">
        <f>IFERROR(K54/K4,0)</f>
      </c>
      <c r="L64" s="72">
        <f>IFERROR(L54/L4,0)</f>
      </c>
      <c r="M64" s="72">
        <f>IFERROR(M54/M4,0)</f>
      </c>
      <c r="N64" s="72">
        <f>IFERROR(N54/N4,0)</f>
      </c>
      <c r="O64" s="72">
        <f>IFERROR(O54/O4,0)</f>
      </c>
      <c r="P64" s="72">
        <f>IFERROR(P54/P4,0)</f>
      </c>
      <c r="Q64" s="72">
        <f>IFERROR(Q54/Q4,0)</f>
      </c>
      <c r="R64" s="71">
        <f>IFERROR(R54/R4,0)</f>
      </c>
      <c r="S64" s="72">
        <f>IFERROR(S54/S4,0)</f>
      </c>
      <c r="T64" s="72">
        <f>IFERROR(T54/T4,0)</f>
      </c>
      <c r="U64" s="72">
        <f>IFERROR(U54/U4,0)</f>
      </c>
      <c r="V64" s="72">
        <f>IFERROR(V54/V4,0)</f>
      </c>
      <c r="W64" s="72">
        <f>IFERROR(W54/W4,0)</f>
      </c>
      <c r="X64" s="72">
        <f>IFERROR(X54/X4,0)</f>
      </c>
      <c r="Y64" s="72">
        <f>IFERROR(Y54/Y4,0)</f>
      </c>
      <c r="Z64" s="72">
        <f>IFERROR(Z54/Z4,0)</f>
      </c>
      <c r="AA64" s="72">
        <f>IFERROR(AA54/AA4,0)</f>
      </c>
      <c r="AB64" s="72">
        <f>IFERROR(AB54/AB4,0)</f>
      </c>
      <c r="AC64" s="72">
        <f>IFERROR(AC54/AC4,0)</f>
      </c>
      <c r="AD64" s="72">
        <f>IFERROR(AD54/AD4,0)</f>
      </c>
      <c r="AE64" s="71">
        <f>IFERROR(AE54/AE4,0)</f>
      </c>
      <c r="AF64" s="72">
        <f>IFERROR(AF54/AF4,0)</f>
      </c>
      <c r="AG64" s="72">
        <f>IFERROR(AG54/AG4,0)</f>
      </c>
      <c r="AH64" s="72">
        <f>IFERROR(AH54/AH4,0)</f>
      </c>
      <c r="AI64" s="72">
        <f>IFERROR(AI54/AI4,0)</f>
      </c>
      <c r="AJ64" s="72">
        <f>IFERROR(AJ54/AJ4,0)</f>
      </c>
      <c r="AK64" s="72">
        <f>IFERROR(AK54/AK4,0)</f>
      </c>
      <c r="AL64" s="72">
        <f>IFERROR(AL54/AL4,0)</f>
      </c>
      <c r="AM64" s="72">
        <f>IFERROR(AM54/AM4,0)</f>
      </c>
      <c r="AN64" s="72">
        <f>IFERROR(AN54/AN4,0)</f>
      </c>
      <c r="AO64" s="72">
        <f>IFERROR(AO54/AO4,0)</f>
      </c>
      <c r="AP64" s="72">
        <f>IFERROR(AP54/AP4,0)</f>
      </c>
      <c r="AQ64" s="72">
        <f>IFERROR(AQ54/AQ4,0)</f>
      </c>
      <c r="AR64" s="71">
        <f>IFERROR(AR54/AR4,0)</f>
      </c>
    </row>
    <row r="65" spans="2:44" x14ac:dyDescent="0.25">
      <c r="B65" s="19" t="s">
        <v>362</v>
      </c>
      <c r="C65" s="71">
        <f>IFERROR(C59/C4,0)</f>
      </c>
      <c r="D65" s="71">
        <f>IFERROR(D59/D4,0)</f>
      </c>
      <c r="E65" s="71">
        <f>IFERROR(E59/E4,0)</f>
      </c>
      <c r="F65" s="72">
        <f>IFERROR(F59/F4,0)</f>
      </c>
      <c r="G65" s="72">
        <f>IFERROR(G59/G4,0)</f>
      </c>
      <c r="H65" s="72">
        <f>IFERROR(H59/H4,0)</f>
      </c>
      <c r="I65" s="72">
        <f>IFERROR(I59/I4,0)</f>
      </c>
      <c r="J65" s="72">
        <f>IFERROR(J59/J4,0)</f>
      </c>
      <c r="K65" s="72">
        <f>IFERROR(K59/K4,0)</f>
      </c>
      <c r="L65" s="72">
        <f>IFERROR(L59/L4,0)</f>
      </c>
      <c r="M65" s="72">
        <f>IFERROR(M59/M4,0)</f>
      </c>
      <c r="N65" s="72">
        <f>IFERROR(N59/N4,0)</f>
      </c>
      <c r="O65" s="72">
        <f>IFERROR(O59/O4,0)</f>
      </c>
      <c r="P65" s="72">
        <f>IFERROR(P59/P4,0)</f>
      </c>
      <c r="Q65" s="72">
        <f>IFERROR(Q59/Q4,0)</f>
      </c>
      <c r="R65" s="71">
        <f>IFERROR(R59/R4,0)</f>
      </c>
      <c r="S65" s="72">
        <f>IFERROR(S59/S4,0)</f>
      </c>
      <c r="T65" s="72">
        <f>IFERROR(T59/T4,0)</f>
      </c>
      <c r="U65" s="72">
        <f>IFERROR(U59/U4,0)</f>
      </c>
      <c r="V65" s="72">
        <f>IFERROR(V59/V4,0)</f>
      </c>
      <c r="W65" s="72">
        <f>IFERROR(W59/W4,0)</f>
      </c>
      <c r="X65" s="72">
        <f>IFERROR(X59/X4,0)</f>
      </c>
      <c r="Y65" s="72">
        <f>IFERROR(Y59/Y4,0)</f>
      </c>
      <c r="Z65" s="72">
        <f>IFERROR(Z59/Z4,0)</f>
      </c>
      <c r="AA65" s="72">
        <f>IFERROR(AA59/AA4,0)</f>
      </c>
      <c r="AB65" s="72">
        <f>IFERROR(AB59/AB4,0)</f>
      </c>
      <c r="AC65" s="72">
        <f>IFERROR(AC59/AC4,0)</f>
      </c>
      <c r="AD65" s="72">
        <f>IFERROR(AD59/AD4,0)</f>
      </c>
      <c r="AE65" s="71">
        <f>IFERROR(AE59/AE4,0)</f>
      </c>
      <c r="AF65" s="72">
        <f>IFERROR(AF59/AF4,0)</f>
      </c>
      <c r="AG65" s="72">
        <f>IFERROR(AG59/AG4,0)</f>
      </c>
      <c r="AH65" s="72">
        <f>IFERROR(AH59/AH4,0)</f>
      </c>
      <c r="AI65" s="72">
        <f>IFERROR(AI59/AI4,0)</f>
      </c>
      <c r="AJ65" s="72">
        <f>IFERROR(AJ59/AJ4,0)</f>
      </c>
      <c r="AK65" s="72">
        <f>IFERROR(AK59/AK4,0)</f>
      </c>
      <c r="AL65" s="72">
        <f>IFERROR(AL59/AL4,0)</f>
      </c>
      <c r="AM65" s="72">
        <f>IFERROR(AM59/AM4,0)</f>
      </c>
      <c r="AN65" s="72">
        <f>IFERROR(AN59/AN4,0)</f>
      </c>
      <c r="AO65" s="72">
        <f>IFERROR(AO59/AO4,0)</f>
      </c>
      <c r="AP65" s="72">
        <f>IFERROR(AP59/AP4,0)</f>
      </c>
      <c r="AQ65" s="72">
        <f>IFERROR(AQ59/AQ4,0)</f>
      </c>
      <c r="AR65" s="71">
        <f>IFERROR(AR59/AR4,0)</f>
      </c>
    </row>
    <row r="66" spans="2:44" x14ac:dyDescent="0.25">
      <c r="B66" s="19" t="s">
        <v>363</v>
      </c>
      <c r="C66" s="71">
        <f>IFERROR(-C17/C4,0)</f>
      </c>
      <c r="D66" s="71">
        <f>IFERROR(-D17/D4,0)</f>
      </c>
      <c r="E66" s="71">
        <f>IFERROR(-E17/E4,0)</f>
      </c>
      <c r="F66" s="72">
        <f>IFERROR(-F17/F4,0)</f>
      </c>
      <c r="G66" s="72">
        <f>IFERROR(-G17/G4,0)</f>
      </c>
      <c r="H66" s="72">
        <f>IFERROR(-H17/H4,0)</f>
      </c>
      <c r="I66" s="72">
        <f>IFERROR(-I17/I4,0)</f>
      </c>
      <c r="J66" s="72">
        <f>IFERROR(-J17/J4,0)</f>
      </c>
      <c r="K66" s="72">
        <f>IFERROR(-K17/K4,0)</f>
      </c>
      <c r="L66" s="72">
        <f>IFERROR(-L17/L4,0)</f>
      </c>
      <c r="M66" s="72">
        <f>IFERROR(-M17/M4,0)</f>
      </c>
      <c r="N66" s="72">
        <f>IFERROR(-N17/N4,0)</f>
      </c>
      <c r="O66" s="72">
        <f>IFERROR(-O17/O4,0)</f>
      </c>
      <c r="P66" s="72">
        <f>IFERROR(-P17/P4,0)</f>
      </c>
      <c r="Q66" s="72">
        <f>IFERROR(-Q17/Q4,0)</f>
      </c>
      <c r="R66" s="71">
        <f>IFERROR(-R17/R4,0)</f>
      </c>
      <c r="S66" s="72">
        <f>IFERROR(-S17/S4,0)</f>
      </c>
      <c r="T66" s="72">
        <f>IFERROR(-T17/T4,0)</f>
      </c>
      <c r="U66" s="72">
        <f>IFERROR(-U17/U4,0)</f>
      </c>
      <c r="V66" s="72">
        <f>IFERROR(-V17/V4,0)</f>
      </c>
      <c r="W66" s="72">
        <f>IFERROR(-W17/W4,0)</f>
      </c>
      <c r="X66" s="72">
        <f>IFERROR(-X17/X4,0)</f>
      </c>
      <c r="Y66" s="72">
        <f>IFERROR(-Y17/Y4,0)</f>
      </c>
      <c r="Z66" s="72">
        <f>IFERROR(-Z17/Z4,0)</f>
      </c>
      <c r="AA66" s="72">
        <f>IFERROR(-AA17/AA4,0)</f>
      </c>
      <c r="AB66" s="72">
        <f>IFERROR(-AB17/AB4,0)</f>
      </c>
      <c r="AC66" s="72">
        <f>IFERROR(-AC17/AC4,0)</f>
      </c>
      <c r="AD66" s="72">
        <f>IFERROR(-AD17/AD4,0)</f>
      </c>
      <c r="AE66" s="71">
        <f>IFERROR(-AE17/AE4,0)</f>
      </c>
      <c r="AF66" s="72">
        <f>IFERROR(-AF17/AF4,0)</f>
      </c>
      <c r="AG66" s="72">
        <f>IFERROR(-AG17/AG4,0)</f>
      </c>
      <c r="AH66" s="72">
        <f>IFERROR(-AH17/AH4,0)</f>
      </c>
      <c r="AI66" s="72">
        <f>IFERROR(-AI17/AI4,0)</f>
      </c>
      <c r="AJ66" s="72">
        <f>IFERROR(-AJ17/AJ4,0)</f>
      </c>
      <c r="AK66" s="72">
        <f>IFERROR(-AK17/AK4,0)</f>
      </c>
      <c r="AL66" s="72">
        <f>IFERROR(-AL17/AL4,0)</f>
      </c>
      <c r="AM66" s="72">
        <f>IFERROR(-AM17/AM4,0)</f>
      </c>
      <c r="AN66" s="72">
        <f>IFERROR(-AN17/AN4,0)</f>
      </c>
      <c r="AO66" s="72">
        <f>IFERROR(-AO17/AO4,0)</f>
      </c>
      <c r="AP66" s="72">
        <f>IFERROR(-AP17/AP4,0)</f>
      </c>
      <c r="AQ66" s="72">
        <f>IFERROR(-AQ17/AQ4,0)</f>
      </c>
      <c r="AR66" s="71">
        <f>IFERROR(-AR17/AR4,0)</f>
      </c>
    </row>
    <row r="67" spans="2:44" x14ac:dyDescent="0.25">
      <c r="B67" s="19" t="s">
        <v>364</v>
      </c>
      <c r="C67" s="71">
        <f>IFERROR(-C21/C4,0)</f>
      </c>
      <c r="D67" s="71">
        <f>IFERROR(-D21/D4,0)</f>
      </c>
      <c r="E67" s="71">
        <f>IFERROR(-E21/E4,0)</f>
      </c>
      <c r="F67" s="72">
        <f>IFERROR(-F21/F4,0)</f>
      </c>
      <c r="G67" s="72">
        <f>IFERROR(-G21/G4,0)</f>
      </c>
      <c r="H67" s="72">
        <f>IFERROR(-H21/H4,0)</f>
      </c>
      <c r="I67" s="72">
        <f>IFERROR(-I21/I4,0)</f>
      </c>
      <c r="J67" s="72">
        <f>IFERROR(-J21/J4,0)</f>
      </c>
      <c r="K67" s="72">
        <f>IFERROR(-K21/K4,0)</f>
      </c>
      <c r="L67" s="72">
        <f>IFERROR(-L21/L4,0)</f>
      </c>
      <c r="M67" s="72">
        <f>IFERROR(-M21/M4,0)</f>
      </c>
      <c r="N67" s="72">
        <f>IFERROR(-N21/N4,0)</f>
      </c>
      <c r="O67" s="72">
        <f>IFERROR(-O21/O4,0)</f>
      </c>
      <c r="P67" s="72">
        <f>IFERROR(-P21/P4,0)</f>
      </c>
      <c r="Q67" s="72">
        <f>IFERROR(-Q21/Q4,0)</f>
      </c>
      <c r="R67" s="71">
        <f>IFERROR(-R21/R4,0)</f>
      </c>
      <c r="S67" s="72">
        <f>IFERROR(-S21/S4,0)</f>
      </c>
      <c r="T67" s="72">
        <f>IFERROR(-T21/T4,0)</f>
      </c>
      <c r="U67" s="72">
        <f>IFERROR(-U21/U4,0)</f>
      </c>
      <c r="V67" s="72">
        <f>IFERROR(-V21/V4,0)</f>
      </c>
      <c r="W67" s="72">
        <f>IFERROR(-W21/W4,0)</f>
      </c>
      <c r="X67" s="72">
        <f>IFERROR(-X21/X4,0)</f>
      </c>
      <c r="Y67" s="72">
        <f>IFERROR(-Y21/Y4,0)</f>
      </c>
      <c r="Z67" s="72">
        <f>IFERROR(-Z21/Z4,0)</f>
      </c>
      <c r="AA67" s="72">
        <f>IFERROR(-AA21/AA4,0)</f>
      </c>
      <c r="AB67" s="72">
        <f>IFERROR(-AB21/AB4,0)</f>
      </c>
      <c r="AC67" s="72">
        <f>IFERROR(-AC21/AC4,0)</f>
      </c>
      <c r="AD67" s="72">
        <f>IFERROR(-AD21/AD4,0)</f>
      </c>
      <c r="AE67" s="71">
        <f>IFERROR(-AE21/AE4,0)</f>
      </c>
      <c r="AF67" s="72">
        <f>IFERROR(-AF21/AF4,0)</f>
      </c>
      <c r="AG67" s="72">
        <f>IFERROR(-AG21/AG4,0)</f>
      </c>
      <c r="AH67" s="72">
        <f>IFERROR(-AH21/AH4,0)</f>
      </c>
      <c r="AI67" s="72">
        <f>IFERROR(-AI21/AI4,0)</f>
      </c>
      <c r="AJ67" s="72">
        <f>IFERROR(-AJ21/AJ4,0)</f>
      </c>
      <c r="AK67" s="72">
        <f>IFERROR(-AK21/AK4,0)</f>
      </c>
      <c r="AL67" s="72">
        <f>IFERROR(-AL21/AL4,0)</f>
      </c>
      <c r="AM67" s="72">
        <f>IFERROR(-AM21/AM4,0)</f>
      </c>
      <c r="AN67" s="72">
        <f>IFERROR(-AN21/AN4,0)</f>
      </c>
      <c r="AO67" s="72">
        <f>IFERROR(-AO21/AO4,0)</f>
      </c>
      <c r="AP67" s="72">
        <f>IFERROR(-AP21/AP4,0)</f>
      </c>
      <c r="AQ67" s="72">
        <f>IFERROR(-AQ21/AQ4,0)</f>
      </c>
      <c r="AR67" s="71">
        <f>IFERROR(-AR21/AR4,0)</f>
      </c>
    </row>
  </sheetData>
  <pageMargins left="0.7" right="0.7" top="0.75" bottom="0.75" header="0.3" footer="0.3"/>
  <pageSetup orientation="landscape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B2:AR30"/>
  <sheetViews>
    <sheetView workbookViewId="0" showGridLines="0" zoomScale="100">
      <pane xSplit="2" topLeftCell="C1" activePane="topRight" state="frozen"/>
      <selection pane="topRight"/>
    </sheetView>
  </sheetViews>
  <sheetFormatPr defaultRowHeight="15" outlineLevelRow="0" outlineLevelCol="0" x14ac:dyDescent="55"/>
  <cols>
    <col min="1" max="1" width="5" customWidth="1"/>
    <col min="2" max="2" width="48" customWidth="1"/>
    <col min="3" max="5" width="16" customWidth="1"/>
    <col min="6" max="17" width="16" outlineLevel="1" collapsed="1" customWidth="1"/>
    <col min="18" max="18" width="16" customWidth="1"/>
    <col min="19" max="30" width="16" outlineLevel="1" collapsed="1" customWidth="1"/>
    <col min="31" max="31" width="16" customWidth="1"/>
    <col min="32" max="43" width="16" outlineLevel="1" collapsed="1" customWidth="1"/>
    <col min="44" max="44" width="16" customWidth="1"/>
  </cols>
  <sheetData>
    <row r="2" ht="28" customHeight="1" spans="2:44" x14ac:dyDescent="0.25">
      <c r="B2" s="15" t="s">
        <v>365</v>
      </c>
      <c r="AR2" s="16" t="s">
        <v>298</v>
      </c>
    </row>
    <row r="3" ht="20" customHeight="1" spans="2:44" x14ac:dyDescent="0.25">
      <c r="B3" s="52" t="s">
        <v>100</v>
      </c>
      <c r="C3" s="53" t="s">
        <v>299</v>
      </c>
      <c r="D3" s="53" t="s">
        <v>300</v>
      </c>
      <c r="E3" s="53" t="s">
        <v>301</v>
      </c>
      <c r="F3" s="54" t="s">
        <v>220</v>
      </c>
      <c r="G3" s="54" t="s">
        <v>221</v>
      </c>
      <c r="H3" s="54" t="s">
        <v>222</v>
      </c>
      <c r="I3" s="54" t="s">
        <v>223</v>
      </c>
      <c r="J3" s="54" t="s">
        <v>224</v>
      </c>
      <c r="K3" s="54" t="s">
        <v>225</v>
      </c>
      <c r="L3" s="54" t="s">
        <v>226</v>
      </c>
      <c r="M3" s="54" t="s">
        <v>227</v>
      </c>
      <c r="N3" s="54" t="s">
        <v>228</v>
      </c>
      <c r="O3" s="54" t="s">
        <v>229</v>
      </c>
      <c r="P3" s="54" t="s">
        <v>230</v>
      </c>
      <c r="Q3" s="54" t="s">
        <v>231</v>
      </c>
      <c r="R3" s="53" t="s">
        <v>302</v>
      </c>
      <c r="S3" s="54" t="s">
        <v>233</v>
      </c>
      <c r="T3" s="54" t="s">
        <v>234</v>
      </c>
      <c r="U3" s="54" t="s">
        <v>235</v>
      </c>
      <c r="V3" s="54" t="s">
        <v>236</v>
      </c>
      <c r="W3" s="54" t="s">
        <v>237</v>
      </c>
      <c r="X3" s="54" t="s">
        <v>238</v>
      </c>
      <c r="Y3" s="54" t="s">
        <v>239</v>
      </c>
      <c r="Z3" s="54" t="s">
        <v>240</v>
      </c>
      <c r="AA3" s="54" t="s">
        <v>241</v>
      </c>
      <c r="AB3" s="54" t="s">
        <v>242</v>
      </c>
      <c r="AC3" s="54" t="s">
        <v>243</v>
      </c>
      <c r="AD3" s="54" t="s">
        <v>244</v>
      </c>
      <c r="AE3" s="53" t="s">
        <v>303</v>
      </c>
      <c r="AF3" s="54" t="s">
        <v>246</v>
      </c>
      <c r="AG3" s="54" t="s">
        <v>247</v>
      </c>
      <c r="AH3" s="54" t="s">
        <v>248</v>
      </c>
      <c r="AI3" s="54" t="s">
        <v>249</v>
      </c>
      <c r="AJ3" s="54" t="s">
        <v>250</v>
      </c>
      <c r="AK3" s="54" t="s">
        <v>251</v>
      </c>
      <c r="AL3" s="54" t="s">
        <v>252</v>
      </c>
      <c r="AM3" s="54" t="s">
        <v>253</v>
      </c>
      <c r="AN3" s="54" t="s">
        <v>254</v>
      </c>
      <c r="AO3" s="54" t="s">
        <v>255</v>
      </c>
      <c r="AP3" s="54" t="s">
        <v>256</v>
      </c>
      <c r="AQ3" s="54" t="s">
        <v>257</v>
      </c>
      <c r="AR3" s="53" t="s">
        <v>304</v>
      </c>
    </row>
    <row r="4" spans="2:44" x14ac:dyDescent="0.25">
      <c r="B4" s="29" t="s">
        <v>357</v>
      </c>
      <c r="C4" s="59">
        <v>136000</v>
      </c>
      <c r="D4" s="59">
        <v>424000</v>
      </c>
      <c r="E4" s="59">
        <v>811000</v>
      </c>
      <c r="F4" s="60">
        <f>'GuV'!F59</f>
      </c>
      <c r="G4" s="60">
        <f>'GuV'!G59</f>
      </c>
      <c r="H4" s="60">
        <f>'GuV'!H59</f>
      </c>
      <c r="I4" s="60">
        <f>'GuV'!I59</f>
      </c>
      <c r="J4" s="60">
        <f>'GuV'!J59</f>
      </c>
      <c r="K4" s="60">
        <f>'GuV'!K59</f>
      </c>
      <c r="L4" s="60">
        <f>'GuV'!L59</f>
      </c>
      <c r="M4" s="60">
        <f>'GuV'!M59</f>
      </c>
      <c r="N4" s="60">
        <f>'GuV'!N59</f>
      </c>
      <c r="O4" s="60">
        <f>'GuV'!O59</f>
      </c>
      <c r="P4" s="60">
        <f>'GuV'!P59</f>
      </c>
      <c r="Q4" s="60">
        <f>'GuV'!Q59</f>
      </c>
      <c r="R4" s="61">
        <f>SUM(F4:Q4)</f>
      </c>
      <c r="S4" s="60">
        <f>'GuV'!S59</f>
      </c>
      <c r="T4" s="60">
        <f>'GuV'!T59</f>
      </c>
      <c r="U4" s="60">
        <f>'GuV'!U59</f>
      </c>
      <c r="V4" s="60">
        <f>'GuV'!V59</f>
      </c>
      <c r="W4" s="60">
        <f>'GuV'!W59</f>
      </c>
      <c r="X4" s="60">
        <f>'GuV'!X59</f>
      </c>
      <c r="Y4" s="60">
        <f>'GuV'!Y59</f>
      </c>
      <c r="Z4" s="60">
        <f>'GuV'!Z59</f>
      </c>
      <c r="AA4" s="60">
        <f>'GuV'!AA59</f>
      </c>
      <c r="AB4" s="60">
        <f>'GuV'!AB59</f>
      </c>
      <c r="AC4" s="60">
        <f>'GuV'!AC59</f>
      </c>
      <c r="AD4" s="60">
        <f>'GuV'!AD59</f>
      </c>
      <c r="AE4" s="61">
        <f>SUM(S4:AD4)</f>
      </c>
      <c r="AF4" s="60">
        <f>'GuV'!AF59</f>
      </c>
      <c r="AG4" s="60">
        <f>'GuV'!AG59</f>
      </c>
      <c r="AH4" s="60">
        <f>'GuV'!AH59</f>
      </c>
      <c r="AI4" s="60">
        <f>'GuV'!AI59</f>
      </c>
      <c r="AJ4" s="60">
        <f>'GuV'!AJ59</f>
      </c>
      <c r="AK4" s="60">
        <f>'GuV'!AK59</f>
      </c>
      <c r="AL4" s="60">
        <f>'GuV'!AL59</f>
      </c>
      <c r="AM4" s="60">
        <f>'GuV'!AM59</f>
      </c>
      <c r="AN4" s="60">
        <f>'GuV'!AN59</f>
      </c>
      <c r="AO4" s="60">
        <f>'GuV'!AO59</f>
      </c>
      <c r="AP4" s="60">
        <f>'GuV'!AP59</f>
      </c>
      <c r="AQ4" s="60">
        <f>'GuV'!AQ59</f>
      </c>
      <c r="AR4" s="61">
        <f>SUM(AF4:AQ4)</f>
      </c>
    </row>
    <row r="5" spans="2:44" x14ac:dyDescent="0.25">
      <c r="B5" s="19" t="s">
        <v>366</v>
      </c>
      <c r="C5" s="59">
        <v>78000</v>
      </c>
      <c r="D5" s="59">
        <v>88000</v>
      </c>
      <c r="E5" s="59">
        <v>98000</v>
      </c>
      <c r="F5" s="60">
        <f>-'GuV'!F53</f>
      </c>
      <c r="G5" s="60">
        <f>-'GuV'!G53</f>
      </c>
      <c r="H5" s="60">
        <f>-'GuV'!H53</f>
      </c>
      <c r="I5" s="60">
        <f>-'GuV'!I53</f>
      </c>
      <c r="J5" s="60">
        <f>-'GuV'!J53</f>
      </c>
      <c r="K5" s="60">
        <f>-'GuV'!K53</f>
      </c>
      <c r="L5" s="60">
        <f>-'GuV'!L53</f>
      </c>
      <c r="M5" s="60">
        <f>-'GuV'!M53</f>
      </c>
      <c r="N5" s="60">
        <f>-'GuV'!N53</f>
      </c>
      <c r="O5" s="60">
        <f>-'GuV'!O53</f>
      </c>
      <c r="P5" s="60">
        <f>-'GuV'!P53</f>
      </c>
      <c r="Q5" s="60">
        <f>-'GuV'!Q53</f>
      </c>
      <c r="R5" s="61">
        <f>SUM(F5:Q5)</f>
      </c>
      <c r="S5" s="60">
        <f>-'GuV'!S53</f>
      </c>
      <c r="T5" s="60">
        <f>-'GuV'!T53</f>
      </c>
      <c r="U5" s="60">
        <f>-'GuV'!U53</f>
      </c>
      <c r="V5" s="60">
        <f>-'GuV'!V53</f>
      </c>
      <c r="W5" s="60">
        <f>-'GuV'!W53</f>
      </c>
      <c r="X5" s="60">
        <f>-'GuV'!X53</f>
      </c>
      <c r="Y5" s="60">
        <f>-'GuV'!Y53</f>
      </c>
      <c r="Z5" s="60">
        <f>-'GuV'!Z53</f>
      </c>
      <c r="AA5" s="60">
        <f>-'GuV'!AA53</f>
      </c>
      <c r="AB5" s="60">
        <f>-'GuV'!AB53</f>
      </c>
      <c r="AC5" s="60">
        <f>-'GuV'!AC53</f>
      </c>
      <c r="AD5" s="60">
        <f>-'GuV'!AD53</f>
      </c>
      <c r="AE5" s="61">
        <f>SUM(S5:AD5)</f>
      </c>
      <c r="AF5" s="60">
        <f>-'GuV'!AF53</f>
      </c>
      <c r="AG5" s="60">
        <f>-'GuV'!AG53</f>
      </c>
      <c r="AH5" s="60">
        <f>-'GuV'!AH53</f>
      </c>
      <c r="AI5" s="60">
        <f>-'GuV'!AI53</f>
      </c>
      <c r="AJ5" s="60">
        <f>-'GuV'!AJ53</f>
      </c>
      <c r="AK5" s="60">
        <f>-'GuV'!AK53</f>
      </c>
      <c r="AL5" s="60">
        <f>-'GuV'!AL53</f>
      </c>
      <c r="AM5" s="60">
        <f>-'GuV'!AM53</f>
      </c>
      <c r="AN5" s="60">
        <f>-'GuV'!AN53</f>
      </c>
      <c r="AO5" s="60">
        <f>-'GuV'!AO53</f>
      </c>
      <c r="AP5" s="60">
        <f>-'GuV'!AP53</f>
      </c>
      <c r="AQ5" s="60">
        <f>-'GuV'!AQ53</f>
      </c>
      <c r="AR5" s="61">
        <f>SUM(AF5:AQ5)</f>
      </c>
    </row>
    <row r="6" spans="2:44" x14ac:dyDescent="0.25">
      <c r="B6" s="19" t="s">
        <v>367</v>
      </c>
      <c r="C6" s="59">
        <v>0</v>
      </c>
      <c r="D6" s="59">
        <v>-75000</v>
      </c>
      <c r="E6" s="59">
        <v>-105000</v>
      </c>
      <c r="F6" s="60">
        <f>-((SUM('GuV'!F4:'GuV'!Q4)*'Annahmen'!$C$164/365)-'Bilanz'!F5)/12</f>
      </c>
      <c r="G6" s="60">
        <f>-((SUM('GuV'!F4:'GuV'!Q4)*'Annahmen'!$C$164/365)-'Bilanz'!F5)/12</f>
      </c>
      <c r="H6" s="60">
        <f>-((SUM('GuV'!F4:'GuV'!Q4)*'Annahmen'!$C$164/365)-'Bilanz'!F5)/12</f>
      </c>
      <c r="I6" s="60">
        <f>-((SUM('GuV'!F4:'GuV'!Q4)*'Annahmen'!$C$164/365)-'Bilanz'!F5)/12</f>
      </c>
      <c r="J6" s="60">
        <f>-((SUM('GuV'!F4:'GuV'!Q4)*'Annahmen'!$C$164/365)-'Bilanz'!F5)/12</f>
      </c>
      <c r="K6" s="60">
        <f>-((SUM('GuV'!F4:'GuV'!Q4)*'Annahmen'!$C$164/365)-'Bilanz'!F5)/12</f>
      </c>
      <c r="L6" s="60">
        <f>-((SUM('GuV'!F4:'GuV'!Q4)*'Annahmen'!$C$164/365)-'Bilanz'!F5)/12</f>
      </c>
      <c r="M6" s="60">
        <f>-((SUM('GuV'!F4:'GuV'!Q4)*'Annahmen'!$C$164/365)-'Bilanz'!F5)/12</f>
      </c>
      <c r="N6" s="60">
        <f>-((SUM('GuV'!F4:'GuV'!Q4)*'Annahmen'!$C$164/365)-'Bilanz'!F5)/12</f>
      </c>
      <c r="O6" s="60">
        <f>-((SUM('GuV'!F4:'GuV'!Q4)*'Annahmen'!$C$164/365)-'Bilanz'!F5)/12</f>
      </c>
      <c r="P6" s="60">
        <f>-((SUM('GuV'!F4:'GuV'!Q4)*'Annahmen'!$C$164/365)-'Bilanz'!F5)/12</f>
      </c>
      <c r="Q6" s="60">
        <f>-((SUM('GuV'!F4:'GuV'!Q4)*'Annahmen'!$C$164/365)-'Bilanz'!F5)/12</f>
      </c>
      <c r="R6" s="61">
        <f>SUM(F6:Q6)</f>
      </c>
      <c r="S6" s="60">
        <f>-((SUM('GuV'!S4:'GuV'!AD4)*'Annahmen'!$C$164/365)-(SUM('GuV'!F4:'GuV'!Q4)*'Annahmen'!$C$164/365))/12</f>
      </c>
      <c r="T6" s="60">
        <f>-((SUM('GuV'!S4:'GuV'!AD4)*'Annahmen'!$C$164/365)-(SUM('GuV'!F4:'GuV'!Q4)*'Annahmen'!$C$164/365))/12</f>
      </c>
      <c r="U6" s="60">
        <f>-((SUM('GuV'!S4:'GuV'!AD4)*'Annahmen'!$C$164/365)-(SUM('GuV'!F4:'GuV'!Q4)*'Annahmen'!$C$164/365))/12</f>
      </c>
      <c r="V6" s="60">
        <f>-((SUM('GuV'!S4:'GuV'!AD4)*'Annahmen'!$C$164/365)-(SUM('GuV'!F4:'GuV'!Q4)*'Annahmen'!$C$164/365))/12</f>
      </c>
      <c r="W6" s="60">
        <f>-((SUM('GuV'!S4:'GuV'!AD4)*'Annahmen'!$C$164/365)-(SUM('GuV'!F4:'GuV'!Q4)*'Annahmen'!$C$164/365))/12</f>
      </c>
      <c r="X6" s="60">
        <f>-((SUM('GuV'!S4:'GuV'!AD4)*'Annahmen'!$C$164/365)-(SUM('GuV'!F4:'GuV'!Q4)*'Annahmen'!$C$164/365))/12</f>
      </c>
      <c r="Y6" s="60">
        <f>-((SUM('GuV'!S4:'GuV'!AD4)*'Annahmen'!$C$164/365)-(SUM('GuV'!F4:'GuV'!Q4)*'Annahmen'!$C$164/365))/12</f>
      </c>
      <c r="Z6" s="60">
        <f>-((SUM('GuV'!S4:'GuV'!AD4)*'Annahmen'!$C$164/365)-(SUM('GuV'!F4:'GuV'!Q4)*'Annahmen'!$C$164/365))/12</f>
      </c>
      <c r="AA6" s="60">
        <f>-((SUM('GuV'!S4:'GuV'!AD4)*'Annahmen'!$C$164/365)-(SUM('GuV'!F4:'GuV'!Q4)*'Annahmen'!$C$164/365))/12</f>
      </c>
      <c r="AB6" s="60">
        <f>-((SUM('GuV'!S4:'GuV'!AD4)*'Annahmen'!$C$164/365)-(SUM('GuV'!F4:'GuV'!Q4)*'Annahmen'!$C$164/365))/12</f>
      </c>
      <c r="AC6" s="60">
        <f>-((SUM('GuV'!S4:'GuV'!AD4)*'Annahmen'!$C$164/365)-(SUM('GuV'!F4:'GuV'!Q4)*'Annahmen'!$C$164/365))/12</f>
      </c>
      <c r="AD6" s="60">
        <f>-((SUM('GuV'!S4:'GuV'!AD4)*'Annahmen'!$C$164/365)-(SUM('GuV'!F4:'GuV'!Q4)*'Annahmen'!$C$164/365))/12</f>
      </c>
      <c r="AE6" s="61">
        <f>SUM(S6:AD6)</f>
      </c>
      <c r="AF6" s="60">
        <f>-((SUM('GuV'!AF4:'GuV'!AQ4)*'Annahmen'!$C$164/365)-(SUM('GuV'!S4:'GuV'!AD4)*'Annahmen'!$C$164/365))/12</f>
      </c>
      <c r="AG6" s="60">
        <f>-((SUM('GuV'!AF4:'GuV'!AQ4)*'Annahmen'!$C$164/365)-(SUM('GuV'!S4:'GuV'!AD4)*'Annahmen'!$C$164/365))/12</f>
      </c>
      <c r="AH6" s="60">
        <f>-((SUM('GuV'!AF4:'GuV'!AQ4)*'Annahmen'!$C$164/365)-(SUM('GuV'!S4:'GuV'!AD4)*'Annahmen'!$C$164/365))/12</f>
      </c>
      <c r="AI6" s="60">
        <f>-((SUM('GuV'!AF4:'GuV'!AQ4)*'Annahmen'!$C$164/365)-(SUM('GuV'!S4:'GuV'!AD4)*'Annahmen'!$C$164/365))/12</f>
      </c>
      <c r="AJ6" s="60">
        <f>-((SUM('GuV'!AF4:'GuV'!AQ4)*'Annahmen'!$C$164/365)-(SUM('GuV'!S4:'GuV'!AD4)*'Annahmen'!$C$164/365))/12</f>
      </c>
      <c r="AK6" s="60">
        <f>-((SUM('GuV'!AF4:'GuV'!AQ4)*'Annahmen'!$C$164/365)-(SUM('GuV'!S4:'GuV'!AD4)*'Annahmen'!$C$164/365))/12</f>
      </c>
      <c r="AL6" s="60">
        <f>-((SUM('GuV'!AF4:'GuV'!AQ4)*'Annahmen'!$C$164/365)-(SUM('GuV'!S4:'GuV'!AD4)*'Annahmen'!$C$164/365))/12</f>
      </c>
      <c r="AM6" s="60">
        <f>-((SUM('GuV'!AF4:'GuV'!AQ4)*'Annahmen'!$C$164/365)-(SUM('GuV'!S4:'GuV'!AD4)*'Annahmen'!$C$164/365))/12</f>
      </c>
      <c r="AN6" s="60">
        <f>-((SUM('GuV'!AF4:'GuV'!AQ4)*'Annahmen'!$C$164/365)-(SUM('GuV'!S4:'GuV'!AD4)*'Annahmen'!$C$164/365))/12</f>
      </c>
      <c r="AO6" s="60">
        <f>-((SUM('GuV'!AF4:'GuV'!AQ4)*'Annahmen'!$C$164/365)-(SUM('GuV'!S4:'GuV'!AD4)*'Annahmen'!$C$164/365))/12</f>
      </c>
      <c r="AP6" s="60">
        <f>-((SUM('GuV'!AF4:'GuV'!AQ4)*'Annahmen'!$C$164/365)-(SUM('GuV'!S4:'GuV'!AD4)*'Annahmen'!$C$164/365))/12</f>
      </c>
      <c r="AQ6" s="60">
        <f>-((SUM('GuV'!AF4:'GuV'!AQ4)*'Annahmen'!$C$164/365)-(SUM('GuV'!S4:'GuV'!AD4)*'Annahmen'!$C$164/365))/12</f>
      </c>
      <c r="AR6" s="61">
        <f>SUM(AF6:AQ6)</f>
      </c>
    </row>
    <row r="7" spans="2:44" x14ac:dyDescent="0.25">
      <c r="B7" s="19" t="s">
        <v>368</v>
      </c>
      <c r="C7" s="59">
        <v>0</v>
      </c>
      <c r="D7" s="59">
        <v>-10000</v>
      </c>
      <c r="E7" s="59">
        <v>-13000</v>
      </c>
      <c r="F7" s="60">
        <f>-(((-SUM('GuV'!F17:'GuV'!Q17))*'Annahmen'!$C$165/365)-'Bilanz'!F6)/12</f>
      </c>
      <c r="G7" s="60">
        <f>-(((-SUM('GuV'!F17:'GuV'!Q17))*'Annahmen'!$C$165/365)-'Bilanz'!F6)/12</f>
      </c>
      <c r="H7" s="60">
        <f>-(((-SUM('GuV'!F17:'GuV'!Q17))*'Annahmen'!$C$165/365)-'Bilanz'!F6)/12</f>
      </c>
      <c r="I7" s="60">
        <f>-(((-SUM('GuV'!F17:'GuV'!Q17))*'Annahmen'!$C$165/365)-'Bilanz'!F6)/12</f>
      </c>
      <c r="J7" s="60">
        <f>-(((-SUM('GuV'!F17:'GuV'!Q17))*'Annahmen'!$C$165/365)-'Bilanz'!F6)/12</f>
      </c>
      <c r="K7" s="60">
        <f>-(((-SUM('GuV'!F17:'GuV'!Q17))*'Annahmen'!$C$165/365)-'Bilanz'!F6)/12</f>
      </c>
      <c r="L7" s="60">
        <f>-(((-SUM('GuV'!F17:'GuV'!Q17))*'Annahmen'!$C$165/365)-'Bilanz'!F6)/12</f>
      </c>
      <c r="M7" s="60">
        <f>-(((-SUM('GuV'!F17:'GuV'!Q17))*'Annahmen'!$C$165/365)-'Bilanz'!F6)/12</f>
      </c>
      <c r="N7" s="60">
        <f>-(((-SUM('GuV'!F17:'GuV'!Q17))*'Annahmen'!$C$165/365)-'Bilanz'!F6)/12</f>
      </c>
      <c r="O7" s="60">
        <f>-(((-SUM('GuV'!F17:'GuV'!Q17))*'Annahmen'!$C$165/365)-'Bilanz'!F6)/12</f>
      </c>
      <c r="P7" s="60">
        <f>-(((-SUM('GuV'!F17:'GuV'!Q17))*'Annahmen'!$C$165/365)-'Bilanz'!F6)/12</f>
      </c>
      <c r="Q7" s="60">
        <f>-(((-SUM('GuV'!F17:'GuV'!Q17))*'Annahmen'!$C$165/365)-'Bilanz'!F6)/12</f>
      </c>
      <c r="R7" s="61">
        <f>SUM(F7:Q7)</f>
      </c>
      <c r="S7" s="60">
        <f>-(((-SUM('GuV'!S17:'GuV'!AD17))*'Annahmen'!$C$165/365)-((-SUM('GuV'!F17:'GuV'!Q17))*'Annahmen'!$C$165/365))/12</f>
      </c>
      <c r="T7" s="60">
        <f>-(((-SUM('GuV'!S17:'GuV'!AD17))*'Annahmen'!$C$165/365)-((-SUM('GuV'!F17:'GuV'!Q17))*'Annahmen'!$C$165/365))/12</f>
      </c>
      <c r="U7" s="60">
        <f>-(((-SUM('GuV'!S17:'GuV'!AD17))*'Annahmen'!$C$165/365)-((-SUM('GuV'!F17:'GuV'!Q17))*'Annahmen'!$C$165/365))/12</f>
      </c>
      <c r="V7" s="60">
        <f>-(((-SUM('GuV'!S17:'GuV'!AD17))*'Annahmen'!$C$165/365)-((-SUM('GuV'!F17:'GuV'!Q17))*'Annahmen'!$C$165/365))/12</f>
      </c>
      <c r="W7" s="60">
        <f>-(((-SUM('GuV'!S17:'GuV'!AD17))*'Annahmen'!$C$165/365)-((-SUM('GuV'!F17:'GuV'!Q17))*'Annahmen'!$C$165/365))/12</f>
      </c>
      <c r="X7" s="60">
        <f>-(((-SUM('GuV'!S17:'GuV'!AD17))*'Annahmen'!$C$165/365)-((-SUM('GuV'!F17:'GuV'!Q17))*'Annahmen'!$C$165/365))/12</f>
      </c>
      <c r="Y7" s="60">
        <f>-(((-SUM('GuV'!S17:'GuV'!AD17))*'Annahmen'!$C$165/365)-((-SUM('GuV'!F17:'GuV'!Q17))*'Annahmen'!$C$165/365))/12</f>
      </c>
      <c r="Z7" s="60">
        <f>-(((-SUM('GuV'!S17:'GuV'!AD17))*'Annahmen'!$C$165/365)-((-SUM('GuV'!F17:'GuV'!Q17))*'Annahmen'!$C$165/365))/12</f>
      </c>
      <c r="AA7" s="60">
        <f>-(((-SUM('GuV'!S17:'GuV'!AD17))*'Annahmen'!$C$165/365)-((-SUM('GuV'!F17:'GuV'!Q17))*'Annahmen'!$C$165/365))/12</f>
      </c>
      <c r="AB7" s="60">
        <f>-(((-SUM('GuV'!S17:'GuV'!AD17))*'Annahmen'!$C$165/365)-((-SUM('GuV'!F17:'GuV'!Q17))*'Annahmen'!$C$165/365))/12</f>
      </c>
      <c r="AC7" s="60">
        <f>-(((-SUM('GuV'!S17:'GuV'!AD17))*'Annahmen'!$C$165/365)-((-SUM('GuV'!F17:'GuV'!Q17))*'Annahmen'!$C$165/365))/12</f>
      </c>
      <c r="AD7" s="60">
        <f>-(((-SUM('GuV'!S17:'GuV'!AD17))*'Annahmen'!$C$165/365)-((-SUM('GuV'!F17:'GuV'!Q17))*'Annahmen'!$C$165/365))/12</f>
      </c>
      <c r="AE7" s="61">
        <f>SUM(S7:AD7)</f>
      </c>
      <c r="AF7" s="60">
        <f>-(((-SUM('GuV'!AF17:'GuV'!AQ17))*'Annahmen'!$C$165/365)-((-SUM('GuV'!S17:'GuV'!AD17))*'Annahmen'!$C$165/365))/12</f>
      </c>
      <c r="AG7" s="60">
        <f>-(((-SUM('GuV'!AF17:'GuV'!AQ17))*'Annahmen'!$C$165/365)-((-SUM('GuV'!S17:'GuV'!AD17))*'Annahmen'!$C$165/365))/12</f>
      </c>
      <c r="AH7" s="60">
        <f>-(((-SUM('GuV'!AF17:'GuV'!AQ17))*'Annahmen'!$C$165/365)-((-SUM('GuV'!S17:'GuV'!AD17))*'Annahmen'!$C$165/365))/12</f>
      </c>
      <c r="AI7" s="60">
        <f>-(((-SUM('GuV'!AF17:'GuV'!AQ17))*'Annahmen'!$C$165/365)-((-SUM('GuV'!S17:'GuV'!AD17))*'Annahmen'!$C$165/365))/12</f>
      </c>
      <c r="AJ7" s="60">
        <f>-(((-SUM('GuV'!AF17:'GuV'!AQ17))*'Annahmen'!$C$165/365)-((-SUM('GuV'!S17:'GuV'!AD17))*'Annahmen'!$C$165/365))/12</f>
      </c>
      <c r="AK7" s="60">
        <f>-(((-SUM('GuV'!AF17:'GuV'!AQ17))*'Annahmen'!$C$165/365)-((-SUM('GuV'!S17:'GuV'!AD17))*'Annahmen'!$C$165/365))/12</f>
      </c>
      <c r="AL7" s="60">
        <f>-(((-SUM('GuV'!AF17:'GuV'!AQ17))*'Annahmen'!$C$165/365)-((-SUM('GuV'!S17:'GuV'!AD17))*'Annahmen'!$C$165/365))/12</f>
      </c>
      <c r="AM7" s="60">
        <f>-(((-SUM('GuV'!AF17:'GuV'!AQ17))*'Annahmen'!$C$165/365)-((-SUM('GuV'!S17:'GuV'!AD17))*'Annahmen'!$C$165/365))/12</f>
      </c>
      <c r="AN7" s="60">
        <f>-(((-SUM('GuV'!AF17:'GuV'!AQ17))*'Annahmen'!$C$165/365)-((-SUM('GuV'!S17:'GuV'!AD17))*'Annahmen'!$C$165/365))/12</f>
      </c>
      <c r="AO7" s="60">
        <f>-(((-SUM('GuV'!AF17:'GuV'!AQ17))*'Annahmen'!$C$165/365)-((-SUM('GuV'!S17:'GuV'!AD17))*'Annahmen'!$C$165/365))/12</f>
      </c>
      <c r="AP7" s="60">
        <f>-(((-SUM('GuV'!AF17:'GuV'!AQ17))*'Annahmen'!$C$165/365)-((-SUM('GuV'!S17:'GuV'!AD17))*'Annahmen'!$C$165/365))/12</f>
      </c>
      <c r="AQ7" s="60">
        <f>-(((-SUM('GuV'!AF17:'GuV'!AQ17))*'Annahmen'!$C$165/365)-((-SUM('GuV'!S17:'GuV'!AD17))*'Annahmen'!$C$165/365))/12</f>
      </c>
      <c r="AR7" s="61">
        <f>SUM(AF7:AQ7)</f>
      </c>
    </row>
    <row r="8" spans="2:44" x14ac:dyDescent="0.25">
      <c r="B8" s="19" t="s">
        <v>369</v>
      </c>
      <c r="C8" s="59">
        <v>0</v>
      </c>
      <c r="D8" s="59">
        <v>35000</v>
      </c>
      <c r="E8" s="59">
        <v>35000</v>
      </c>
      <c r="F8" s="60">
        <f>(((-SUM('GuV'!F17:'GuV'!Q17))*'Annahmen'!$C$166/365)-'Bilanz'!F13)/12</f>
      </c>
      <c r="G8" s="60">
        <f>(((-SUM('GuV'!F17:'GuV'!Q17))*'Annahmen'!$C$166/365)-'Bilanz'!F13)/12</f>
      </c>
      <c r="H8" s="60">
        <f>(((-SUM('GuV'!F17:'GuV'!Q17))*'Annahmen'!$C$166/365)-'Bilanz'!F13)/12</f>
      </c>
      <c r="I8" s="60">
        <f>(((-SUM('GuV'!F17:'GuV'!Q17))*'Annahmen'!$C$166/365)-'Bilanz'!F13)/12</f>
      </c>
      <c r="J8" s="60">
        <f>(((-SUM('GuV'!F17:'GuV'!Q17))*'Annahmen'!$C$166/365)-'Bilanz'!F13)/12</f>
      </c>
      <c r="K8" s="60">
        <f>(((-SUM('GuV'!F17:'GuV'!Q17))*'Annahmen'!$C$166/365)-'Bilanz'!F13)/12</f>
      </c>
      <c r="L8" s="60">
        <f>(((-SUM('GuV'!F17:'GuV'!Q17))*'Annahmen'!$C$166/365)-'Bilanz'!F13)/12</f>
      </c>
      <c r="M8" s="60">
        <f>(((-SUM('GuV'!F17:'GuV'!Q17))*'Annahmen'!$C$166/365)-'Bilanz'!F13)/12</f>
      </c>
      <c r="N8" s="60">
        <f>(((-SUM('GuV'!F17:'GuV'!Q17))*'Annahmen'!$C$166/365)-'Bilanz'!F13)/12</f>
      </c>
      <c r="O8" s="60">
        <f>(((-SUM('GuV'!F17:'GuV'!Q17))*'Annahmen'!$C$166/365)-'Bilanz'!F13)/12</f>
      </c>
      <c r="P8" s="60">
        <f>(((-SUM('GuV'!F17:'GuV'!Q17))*'Annahmen'!$C$166/365)-'Bilanz'!F13)/12</f>
      </c>
      <c r="Q8" s="60">
        <f>(((-SUM('GuV'!F17:'GuV'!Q17))*'Annahmen'!$C$166/365)-'Bilanz'!F13)/12</f>
      </c>
      <c r="R8" s="61">
        <f>SUM(F8:Q8)</f>
      </c>
      <c r="S8" s="60">
        <f>(((-SUM('GuV'!S17:'GuV'!AD17))*'Annahmen'!$C$166/365)-((-SUM('GuV'!F17:'GuV'!Q17))*'Annahmen'!$C$166/365))/12</f>
      </c>
      <c r="T8" s="60">
        <f>(((-SUM('GuV'!S17:'GuV'!AD17))*'Annahmen'!$C$166/365)-((-SUM('GuV'!F17:'GuV'!Q17))*'Annahmen'!$C$166/365))/12</f>
      </c>
      <c r="U8" s="60">
        <f>(((-SUM('GuV'!S17:'GuV'!AD17))*'Annahmen'!$C$166/365)-((-SUM('GuV'!F17:'GuV'!Q17))*'Annahmen'!$C$166/365))/12</f>
      </c>
      <c r="V8" s="60">
        <f>(((-SUM('GuV'!S17:'GuV'!AD17))*'Annahmen'!$C$166/365)-((-SUM('GuV'!F17:'GuV'!Q17))*'Annahmen'!$C$166/365))/12</f>
      </c>
      <c r="W8" s="60">
        <f>(((-SUM('GuV'!S17:'GuV'!AD17))*'Annahmen'!$C$166/365)-((-SUM('GuV'!F17:'GuV'!Q17))*'Annahmen'!$C$166/365))/12</f>
      </c>
      <c r="X8" s="60">
        <f>(((-SUM('GuV'!S17:'GuV'!AD17))*'Annahmen'!$C$166/365)-((-SUM('GuV'!F17:'GuV'!Q17))*'Annahmen'!$C$166/365))/12</f>
      </c>
      <c r="Y8" s="60">
        <f>(((-SUM('GuV'!S17:'GuV'!AD17))*'Annahmen'!$C$166/365)-((-SUM('GuV'!F17:'GuV'!Q17))*'Annahmen'!$C$166/365))/12</f>
      </c>
      <c r="Z8" s="60">
        <f>(((-SUM('GuV'!S17:'GuV'!AD17))*'Annahmen'!$C$166/365)-((-SUM('GuV'!F17:'GuV'!Q17))*'Annahmen'!$C$166/365))/12</f>
      </c>
      <c r="AA8" s="60">
        <f>(((-SUM('GuV'!S17:'GuV'!AD17))*'Annahmen'!$C$166/365)-((-SUM('GuV'!F17:'GuV'!Q17))*'Annahmen'!$C$166/365))/12</f>
      </c>
      <c r="AB8" s="60">
        <f>(((-SUM('GuV'!S17:'GuV'!AD17))*'Annahmen'!$C$166/365)-((-SUM('GuV'!F17:'GuV'!Q17))*'Annahmen'!$C$166/365))/12</f>
      </c>
      <c r="AC8" s="60">
        <f>(((-SUM('GuV'!S17:'GuV'!AD17))*'Annahmen'!$C$166/365)-((-SUM('GuV'!F17:'GuV'!Q17))*'Annahmen'!$C$166/365))/12</f>
      </c>
      <c r="AD8" s="60">
        <f>(((-SUM('GuV'!S17:'GuV'!AD17))*'Annahmen'!$C$166/365)-((-SUM('GuV'!F17:'GuV'!Q17))*'Annahmen'!$C$166/365))/12</f>
      </c>
      <c r="AE8" s="61">
        <f>SUM(S8:AD8)</f>
      </c>
      <c r="AF8" s="60">
        <f>(((-SUM('GuV'!AF17:'GuV'!AQ17))*'Annahmen'!$C$166/365)-((-SUM('GuV'!S17:'GuV'!AD17))*'Annahmen'!$C$166/365))/12</f>
      </c>
      <c r="AG8" s="60">
        <f>(((-SUM('GuV'!AF17:'GuV'!AQ17))*'Annahmen'!$C$166/365)-((-SUM('GuV'!S17:'GuV'!AD17))*'Annahmen'!$C$166/365))/12</f>
      </c>
      <c r="AH8" s="60">
        <f>(((-SUM('GuV'!AF17:'GuV'!AQ17))*'Annahmen'!$C$166/365)-((-SUM('GuV'!S17:'GuV'!AD17))*'Annahmen'!$C$166/365))/12</f>
      </c>
      <c r="AI8" s="60">
        <f>(((-SUM('GuV'!AF17:'GuV'!AQ17))*'Annahmen'!$C$166/365)-((-SUM('GuV'!S17:'GuV'!AD17))*'Annahmen'!$C$166/365))/12</f>
      </c>
      <c r="AJ8" s="60">
        <f>(((-SUM('GuV'!AF17:'GuV'!AQ17))*'Annahmen'!$C$166/365)-((-SUM('GuV'!S17:'GuV'!AD17))*'Annahmen'!$C$166/365))/12</f>
      </c>
      <c r="AK8" s="60">
        <f>(((-SUM('GuV'!AF17:'GuV'!AQ17))*'Annahmen'!$C$166/365)-((-SUM('GuV'!S17:'GuV'!AD17))*'Annahmen'!$C$166/365))/12</f>
      </c>
      <c r="AL8" s="60">
        <f>(((-SUM('GuV'!AF17:'GuV'!AQ17))*'Annahmen'!$C$166/365)-((-SUM('GuV'!S17:'GuV'!AD17))*'Annahmen'!$C$166/365))/12</f>
      </c>
      <c r="AM8" s="60">
        <f>(((-SUM('GuV'!AF17:'GuV'!AQ17))*'Annahmen'!$C$166/365)-((-SUM('GuV'!S17:'GuV'!AD17))*'Annahmen'!$C$166/365))/12</f>
      </c>
      <c r="AN8" s="60">
        <f>(((-SUM('GuV'!AF17:'GuV'!AQ17))*'Annahmen'!$C$166/365)-((-SUM('GuV'!S17:'GuV'!AD17))*'Annahmen'!$C$166/365))/12</f>
      </c>
      <c r="AO8" s="60">
        <f>(((-SUM('GuV'!AF17:'GuV'!AQ17))*'Annahmen'!$C$166/365)-((-SUM('GuV'!S17:'GuV'!AD17))*'Annahmen'!$C$166/365))/12</f>
      </c>
      <c r="AP8" s="60">
        <f>(((-SUM('GuV'!AF17:'GuV'!AQ17))*'Annahmen'!$C$166/365)-((-SUM('GuV'!S17:'GuV'!AD17))*'Annahmen'!$C$166/365))/12</f>
      </c>
      <c r="AQ8" s="60">
        <f>(((-SUM('GuV'!AF17:'GuV'!AQ17))*'Annahmen'!$C$166/365)-((-SUM('GuV'!S17:'GuV'!AD17))*'Annahmen'!$C$166/365))/12</f>
      </c>
      <c r="AR8" s="61">
        <f>SUM(AF8:AQ8)</f>
      </c>
    </row>
    <row r="9" spans="3:44" x14ac:dyDescent="0.25">
      <c r="C9" s="65"/>
      <c r="D9" s="65"/>
      <c r="E9" s="65"/>
      <c r="R9" s="65"/>
      <c r="AE9" s="65"/>
      <c r="AR9" s="65"/>
    </row>
    <row r="10" spans="2:44" x14ac:dyDescent="0.25">
      <c r="B10" s="29" t="s">
        <v>370</v>
      </c>
      <c r="C10" s="62">
        <v>214000</v>
      </c>
      <c r="D10" s="62">
        <v>462000</v>
      </c>
      <c r="E10" s="62">
        <v>826000</v>
      </c>
      <c r="F10" s="63">
        <f>SUM(F4:F8)</f>
      </c>
      <c r="G10" s="63">
        <f>SUM(G4:G8)</f>
      </c>
      <c r="H10" s="63">
        <f>SUM(H4:H8)</f>
      </c>
      <c r="I10" s="63">
        <f>SUM(I4:I8)</f>
      </c>
      <c r="J10" s="63">
        <f>SUM(J4:J8)</f>
      </c>
      <c r="K10" s="63">
        <f>SUM(K4:K8)</f>
      </c>
      <c r="L10" s="63">
        <f>SUM(L4:L8)</f>
      </c>
      <c r="M10" s="63">
        <f>SUM(M4:M8)</f>
      </c>
      <c r="N10" s="63">
        <f>SUM(N4:N8)</f>
      </c>
      <c r="O10" s="63">
        <f>SUM(O4:O8)</f>
      </c>
      <c r="P10" s="63">
        <f>SUM(P4:P8)</f>
      </c>
      <c r="Q10" s="63">
        <f>SUM(Q4:Q8)</f>
      </c>
      <c r="R10" s="64">
        <f>SUM(F10:Q10)</f>
      </c>
      <c r="S10" s="63">
        <f>SUM(S4:S8)</f>
      </c>
      <c r="T10" s="63">
        <f>SUM(T4:T8)</f>
      </c>
      <c r="U10" s="63">
        <f>SUM(U4:U8)</f>
      </c>
      <c r="V10" s="63">
        <f>SUM(V4:V8)</f>
      </c>
      <c r="W10" s="63">
        <f>SUM(W4:W8)</f>
      </c>
      <c r="X10" s="63">
        <f>SUM(X4:X8)</f>
      </c>
      <c r="Y10" s="63">
        <f>SUM(Y4:Y8)</f>
      </c>
      <c r="Z10" s="63">
        <f>SUM(Z4:Z8)</f>
      </c>
      <c r="AA10" s="63">
        <f>SUM(AA4:AA8)</f>
      </c>
      <c r="AB10" s="63">
        <f>SUM(AB4:AB8)</f>
      </c>
      <c r="AC10" s="63">
        <f>SUM(AC4:AC8)</f>
      </c>
      <c r="AD10" s="63">
        <f>SUM(AD4:AD8)</f>
      </c>
      <c r="AE10" s="64">
        <f>SUM(S10:AD10)</f>
      </c>
      <c r="AF10" s="63">
        <f>SUM(AF4:AF8)</f>
      </c>
      <c r="AG10" s="63">
        <f>SUM(AG4:AG8)</f>
      </c>
      <c r="AH10" s="63">
        <f>SUM(AH4:AH8)</f>
      </c>
      <c r="AI10" s="63">
        <f>SUM(AI4:AI8)</f>
      </c>
      <c r="AJ10" s="63">
        <f>SUM(AJ4:AJ8)</f>
      </c>
      <c r="AK10" s="63">
        <f>SUM(AK4:AK8)</f>
      </c>
      <c r="AL10" s="63">
        <f>SUM(AL4:AL8)</f>
      </c>
      <c r="AM10" s="63">
        <f>SUM(AM4:AM8)</f>
      </c>
      <c r="AN10" s="63">
        <f>SUM(AN4:AN8)</f>
      </c>
      <c r="AO10" s="63">
        <f>SUM(AO4:AO8)</f>
      </c>
      <c r="AP10" s="63">
        <f>SUM(AP4:AP8)</f>
      </c>
      <c r="AQ10" s="63">
        <f>SUM(AQ4:AQ8)</f>
      </c>
      <c r="AR10" s="64">
        <f>SUM(AF10:AQ10)</f>
      </c>
    </row>
    <row r="11" spans="2:44" x14ac:dyDescent="0.25">
      <c r="B11" s="19" t="s">
        <v>371</v>
      </c>
      <c r="C11" s="59">
        <v>0</v>
      </c>
      <c r="D11" s="59">
        <v>-123000</v>
      </c>
      <c r="E11" s="59">
        <v>-143000</v>
      </c>
      <c r="F11" s="60">
        <f>-'Annahmen'!D232</f>
      </c>
      <c r="G11" s="60">
        <f>-'Annahmen'!E232</f>
      </c>
      <c r="H11" s="60">
        <f>-'Annahmen'!F232</f>
      </c>
      <c r="I11" s="60">
        <f>-'Annahmen'!G232</f>
      </c>
      <c r="J11" s="60">
        <f>-'Annahmen'!H232</f>
      </c>
      <c r="K11" s="60">
        <f>-'Annahmen'!I232</f>
      </c>
      <c r="L11" s="60">
        <f>-'Annahmen'!J232</f>
      </c>
      <c r="M11" s="60">
        <f>-'Annahmen'!K232</f>
      </c>
      <c r="N11" s="60">
        <f>-'Annahmen'!L232</f>
      </c>
      <c r="O11" s="60">
        <f>-'Annahmen'!M232</f>
      </c>
      <c r="P11" s="60">
        <f>-'Annahmen'!N232</f>
      </c>
      <c r="Q11" s="60">
        <f>-'Annahmen'!O232</f>
      </c>
      <c r="R11" s="61">
        <f>SUM(F11:Q11)</f>
      </c>
      <c r="S11" s="60">
        <f>-'Annahmen'!Q232</f>
      </c>
      <c r="T11" s="60">
        <f>-'Annahmen'!R232</f>
      </c>
      <c r="U11" s="60">
        <f>-'Annahmen'!S232</f>
      </c>
      <c r="V11" s="60">
        <f>-'Annahmen'!T232</f>
      </c>
      <c r="W11" s="60">
        <f>-'Annahmen'!U232</f>
      </c>
      <c r="X11" s="60">
        <f>-'Annahmen'!V232</f>
      </c>
      <c r="Y11" s="60">
        <f>-'Annahmen'!W232</f>
      </c>
      <c r="Z11" s="60">
        <f>-'Annahmen'!X232</f>
      </c>
      <c r="AA11" s="60">
        <f>-'Annahmen'!Y232</f>
      </c>
      <c r="AB11" s="60">
        <f>-'Annahmen'!Z232</f>
      </c>
      <c r="AC11" s="60">
        <f>-'Annahmen'!AA232</f>
      </c>
      <c r="AD11" s="60">
        <f>-'Annahmen'!AB232</f>
      </c>
      <c r="AE11" s="61">
        <f>SUM(S11:AD11)</f>
      </c>
      <c r="AF11" s="60">
        <f>-'Annahmen'!AD232</f>
      </c>
      <c r="AG11" s="60">
        <f>-'Annahmen'!AE232</f>
      </c>
      <c r="AH11" s="60">
        <f>-'Annahmen'!AF232</f>
      </c>
      <c r="AI11" s="60">
        <f>-'Annahmen'!AG232</f>
      </c>
      <c r="AJ11" s="60">
        <f>-'Annahmen'!AH232</f>
      </c>
      <c r="AK11" s="60">
        <f>-'Annahmen'!AI232</f>
      </c>
      <c r="AL11" s="60">
        <f>-'Annahmen'!AJ232</f>
      </c>
      <c r="AM11" s="60">
        <f>-'Annahmen'!AK232</f>
      </c>
      <c r="AN11" s="60">
        <f>-'Annahmen'!AL232</f>
      </c>
      <c r="AO11" s="60">
        <f>-'Annahmen'!AM232</f>
      </c>
      <c r="AP11" s="60">
        <f>-'Annahmen'!AN232</f>
      </c>
      <c r="AQ11" s="60">
        <f>-'Annahmen'!AO232</f>
      </c>
      <c r="AR11" s="61">
        <f>SUM(AF11:AQ11)</f>
      </c>
    </row>
    <row r="12" spans="2:44" x14ac:dyDescent="0.25">
      <c r="B12" s="19" t="s">
        <v>372</v>
      </c>
      <c r="C12" s="59">
        <v>0</v>
      </c>
      <c r="D12" s="59">
        <v>0</v>
      </c>
      <c r="E12" s="59">
        <v>0</v>
      </c>
      <c r="F12" s="60">
        <f>'Annahmen'!D245</f>
      </c>
      <c r="G12" s="60">
        <f>'Annahmen'!E245</f>
      </c>
      <c r="H12" s="60">
        <f>'Annahmen'!F245</f>
      </c>
      <c r="I12" s="60">
        <f>'Annahmen'!G245</f>
      </c>
      <c r="J12" s="60">
        <f>'Annahmen'!H245</f>
      </c>
      <c r="K12" s="60">
        <f>'Annahmen'!I245</f>
      </c>
      <c r="L12" s="60">
        <f>'Annahmen'!J245</f>
      </c>
      <c r="M12" s="60">
        <f>'Annahmen'!K245</f>
      </c>
      <c r="N12" s="60">
        <f>'Annahmen'!L245</f>
      </c>
      <c r="O12" s="60">
        <f>'Annahmen'!M245</f>
      </c>
      <c r="P12" s="60">
        <f>'Annahmen'!N245</f>
      </c>
      <c r="Q12" s="60">
        <f>'Annahmen'!O245</f>
      </c>
      <c r="R12" s="61">
        <f>SUM(F12:Q12)</f>
      </c>
      <c r="S12" s="60">
        <f>'Annahmen'!Q245</f>
      </c>
      <c r="T12" s="60">
        <f>'Annahmen'!R245</f>
      </c>
      <c r="U12" s="60">
        <f>'Annahmen'!S245</f>
      </c>
      <c r="V12" s="60">
        <f>'Annahmen'!T245</f>
      </c>
      <c r="W12" s="60">
        <f>'Annahmen'!U245</f>
      </c>
      <c r="X12" s="60">
        <f>'Annahmen'!V245</f>
      </c>
      <c r="Y12" s="60">
        <f>'Annahmen'!W245</f>
      </c>
      <c r="Z12" s="60">
        <f>'Annahmen'!X245</f>
      </c>
      <c r="AA12" s="60">
        <f>'Annahmen'!Y245</f>
      </c>
      <c r="AB12" s="60">
        <f>'Annahmen'!Z245</f>
      </c>
      <c r="AC12" s="60">
        <f>'Annahmen'!AA245</f>
      </c>
      <c r="AD12" s="60">
        <f>'Annahmen'!AB245</f>
      </c>
      <c r="AE12" s="61">
        <f>SUM(S12:AD12)</f>
      </c>
      <c r="AF12" s="60">
        <f>'Annahmen'!AD245</f>
      </c>
      <c r="AG12" s="60">
        <f>'Annahmen'!AE245</f>
      </c>
      <c r="AH12" s="60">
        <f>'Annahmen'!AF245</f>
      </c>
      <c r="AI12" s="60">
        <f>'Annahmen'!AG245</f>
      </c>
      <c r="AJ12" s="60">
        <f>'Annahmen'!AH245</f>
      </c>
      <c r="AK12" s="60">
        <f>'Annahmen'!AI245</f>
      </c>
      <c r="AL12" s="60">
        <f>'Annahmen'!AJ245</f>
      </c>
      <c r="AM12" s="60">
        <f>'Annahmen'!AK245</f>
      </c>
      <c r="AN12" s="60">
        <f>'Annahmen'!AL245</f>
      </c>
      <c r="AO12" s="60">
        <f>'Annahmen'!AM245</f>
      </c>
      <c r="AP12" s="60">
        <f>'Annahmen'!AN245</f>
      </c>
      <c r="AQ12" s="60">
        <f>'Annahmen'!AO245</f>
      </c>
      <c r="AR12" s="61">
        <f>SUM(AF12:AQ12)</f>
      </c>
    </row>
    <row r="13" spans="3:44" x14ac:dyDescent="0.25">
      <c r="C13" s="65"/>
      <c r="D13" s="65"/>
      <c r="E13" s="65"/>
      <c r="R13" s="65"/>
      <c r="AE13" s="65"/>
      <c r="AR13" s="65"/>
    </row>
    <row r="14" spans="2:44" x14ac:dyDescent="0.25">
      <c r="B14" s="29" t="s">
        <v>373</v>
      </c>
      <c r="C14" s="62">
        <v>0</v>
      </c>
      <c r="D14" s="62">
        <v>-123000</v>
      </c>
      <c r="E14" s="62">
        <v>-143000</v>
      </c>
      <c r="F14" s="63">
        <f>F11+F12</f>
      </c>
      <c r="G14" s="63">
        <f>G11+G12</f>
      </c>
      <c r="H14" s="63">
        <f>H11+H12</f>
      </c>
      <c r="I14" s="63">
        <f>I11+I12</f>
      </c>
      <c r="J14" s="63">
        <f>J11+J12</f>
      </c>
      <c r="K14" s="63">
        <f>K11+K12</f>
      </c>
      <c r="L14" s="63">
        <f>L11+L12</f>
      </c>
      <c r="M14" s="63">
        <f>M11+M12</f>
      </c>
      <c r="N14" s="63">
        <f>N11+N12</f>
      </c>
      <c r="O14" s="63">
        <f>O11+O12</f>
      </c>
      <c r="P14" s="63">
        <f>P11+P12</f>
      </c>
      <c r="Q14" s="63">
        <f>Q11+Q12</f>
      </c>
      <c r="R14" s="64">
        <f>SUM(F14:Q14)</f>
      </c>
      <c r="S14" s="63">
        <f>S11+S12</f>
      </c>
      <c r="T14" s="63">
        <f>T11+T12</f>
      </c>
      <c r="U14" s="63">
        <f>U11+U12</f>
      </c>
      <c r="V14" s="63">
        <f>V11+V12</f>
      </c>
      <c r="W14" s="63">
        <f>W11+W12</f>
      </c>
      <c r="X14" s="63">
        <f>X11+X12</f>
      </c>
      <c r="Y14" s="63">
        <f>Y11+Y12</f>
      </c>
      <c r="Z14" s="63">
        <f>Z11+Z12</f>
      </c>
      <c r="AA14" s="63">
        <f>AA11+AA12</f>
      </c>
      <c r="AB14" s="63">
        <f>AB11+AB12</f>
      </c>
      <c r="AC14" s="63">
        <f>AC11+AC12</f>
      </c>
      <c r="AD14" s="63">
        <f>AD11+AD12</f>
      </c>
      <c r="AE14" s="64">
        <f>SUM(S14:AD14)</f>
      </c>
      <c r="AF14" s="63">
        <f>AF11+AF12</f>
      </c>
      <c r="AG14" s="63">
        <f>AG11+AG12</f>
      </c>
      <c r="AH14" s="63">
        <f>AH11+AH12</f>
      </c>
      <c r="AI14" s="63">
        <f>AI11+AI12</f>
      </c>
      <c r="AJ14" s="63">
        <f>AJ11+AJ12</f>
      </c>
      <c r="AK14" s="63">
        <f>AK11+AK12</f>
      </c>
      <c r="AL14" s="63">
        <f>AL11+AL12</f>
      </c>
      <c r="AM14" s="63">
        <f>AM11+AM12</f>
      </c>
      <c r="AN14" s="63">
        <f>AN11+AN12</f>
      </c>
      <c r="AO14" s="63">
        <f>AO11+AO12</f>
      </c>
      <c r="AP14" s="63">
        <f>AP11+AP12</f>
      </c>
      <c r="AQ14" s="63">
        <f>AQ11+AQ12</f>
      </c>
      <c r="AR14" s="64">
        <f>SUM(AF14:AQ14)</f>
      </c>
    </row>
    <row r="15" spans="2:44" x14ac:dyDescent="0.25">
      <c r="B15" s="19" t="s">
        <v>374</v>
      </c>
      <c r="C15" s="59">
        <v>0</v>
      </c>
      <c r="D15" s="59">
        <v>120000</v>
      </c>
      <c r="E15" s="59">
        <v>82000</v>
      </c>
      <c r="F15" s="60">
        <f>'Annahmen'!D236</f>
      </c>
      <c r="G15" s="60">
        <f>'Annahmen'!E236</f>
      </c>
      <c r="H15" s="60">
        <f>'Annahmen'!F236</f>
      </c>
      <c r="I15" s="60">
        <f>'Annahmen'!G236</f>
      </c>
      <c r="J15" s="60">
        <f>'Annahmen'!H236</f>
      </c>
      <c r="K15" s="60">
        <f>'Annahmen'!I236</f>
      </c>
      <c r="L15" s="60">
        <f>'Annahmen'!J236</f>
      </c>
      <c r="M15" s="60">
        <f>'Annahmen'!K236</f>
      </c>
      <c r="N15" s="60">
        <f>'Annahmen'!L236</f>
      </c>
      <c r="O15" s="60">
        <f>'Annahmen'!M236</f>
      </c>
      <c r="P15" s="60">
        <f>'Annahmen'!N236</f>
      </c>
      <c r="Q15" s="60">
        <f>'Annahmen'!O236</f>
      </c>
      <c r="R15" s="61">
        <f>SUM(F15:Q15)</f>
      </c>
      <c r="S15" s="60">
        <f>'Annahmen'!Q236</f>
      </c>
      <c r="T15" s="60">
        <f>'Annahmen'!R236</f>
      </c>
      <c r="U15" s="60">
        <f>'Annahmen'!S236</f>
      </c>
      <c r="V15" s="60">
        <f>'Annahmen'!T236</f>
      </c>
      <c r="W15" s="60">
        <f>'Annahmen'!U236</f>
      </c>
      <c r="X15" s="60">
        <f>'Annahmen'!V236</f>
      </c>
      <c r="Y15" s="60">
        <f>'Annahmen'!W236</f>
      </c>
      <c r="Z15" s="60">
        <f>'Annahmen'!X236</f>
      </c>
      <c r="AA15" s="60">
        <f>'Annahmen'!Y236</f>
      </c>
      <c r="AB15" s="60">
        <f>'Annahmen'!Z236</f>
      </c>
      <c r="AC15" s="60">
        <f>'Annahmen'!AA236</f>
      </c>
      <c r="AD15" s="60">
        <f>'Annahmen'!AB236</f>
      </c>
      <c r="AE15" s="61">
        <f>SUM(S15:AD15)</f>
      </c>
      <c r="AF15" s="60">
        <f>'Annahmen'!AD236</f>
      </c>
      <c r="AG15" s="60">
        <f>'Annahmen'!AE236</f>
      </c>
      <c r="AH15" s="60">
        <f>'Annahmen'!AF236</f>
      </c>
      <c r="AI15" s="60">
        <f>'Annahmen'!AG236</f>
      </c>
      <c r="AJ15" s="60">
        <f>'Annahmen'!AH236</f>
      </c>
      <c r="AK15" s="60">
        <f>'Annahmen'!AI236</f>
      </c>
      <c r="AL15" s="60">
        <f>'Annahmen'!AJ236</f>
      </c>
      <c r="AM15" s="60">
        <f>'Annahmen'!AK236</f>
      </c>
      <c r="AN15" s="60">
        <f>'Annahmen'!AL236</f>
      </c>
      <c r="AO15" s="60">
        <f>'Annahmen'!AM236</f>
      </c>
      <c r="AP15" s="60">
        <f>'Annahmen'!AN236</f>
      </c>
      <c r="AQ15" s="60">
        <f>'Annahmen'!AO236</f>
      </c>
      <c r="AR15" s="61">
        <f>SUM(AF15:AQ15)</f>
      </c>
    </row>
    <row r="16" spans="2:44" x14ac:dyDescent="0.25">
      <c r="B16" s="19" t="s">
        <v>375</v>
      </c>
      <c r="C16" s="59">
        <v>0</v>
      </c>
      <c r="D16" s="59">
        <v>0</v>
      </c>
      <c r="E16" s="59">
        <v>0</v>
      </c>
      <c r="F16" s="60">
        <f>-'Annahmen'!D237</f>
      </c>
      <c r="G16" s="60">
        <f>-'Annahmen'!E237</f>
      </c>
      <c r="H16" s="60">
        <f>-'Annahmen'!F237</f>
      </c>
      <c r="I16" s="60">
        <f>-'Annahmen'!G237</f>
      </c>
      <c r="J16" s="60">
        <f>-'Annahmen'!H237</f>
      </c>
      <c r="K16" s="60">
        <f>-'Annahmen'!I237</f>
      </c>
      <c r="L16" s="60">
        <f>-'Annahmen'!J237</f>
      </c>
      <c r="M16" s="60">
        <f>-'Annahmen'!K237</f>
      </c>
      <c r="N16" s="60">
        <f>-'Annahmen'!L237</f>
      </c>
      <c r="O16" s="60">
        <f>-'Annahmen'!M237</f>
      </c>
      <c r="P16" s="60">
        <f>-'Annahmen'!N237</f>
      </c>
      <c r="Q16" s="60">
        <f>-'Annahmen'!O237</f>
      </c>
      <c r="R16" s="61">
        <f>SUM(F16:Q16)</f>
      </c>
      <c r="S16" s="60">
        <f>-'Annahmen'!Q237</f>
      </c>
      <c r="T16" s="60">
        <f>-'Annahmen'!R237</f>
      </c>
      <c r="U16" s="60">
        <f>-'Annahmen'!S237</f>
      </c>
      <c r="V16" s="60">
        <f>-'Annahmen'!T237</f>
      </c>
      <c r="W16" s="60">
        <f>-'Annahmen'!U237</f>
      </c>
      <c r="X16" s="60">
        <f>-'Annahmen'!V237</f>
      </c>
      <c r="Y16" s="60">
        <f>-'Annahmen'!W237</f>
      </c>
      <c r="Z16" s="60">
        <f>-'Annahmen'!X237</f>
      </c>
      <c r="AA16" s="60">
        <f>-'Annahmen'!Y237</f>
      </c>
      <c r="AB16" s="60">
        <f>-'Annahmen'!Z237</f>
      </c>
      <c r="AC16" s="60">
        <f>-'Annahmen'!AA237</f>
      </c>
      <c r="AD16" s="60">
        <f>-'Annahmen'!AB237</f>
      </c>
      <c r="AE16" s="61">
        <f>SUM(S16:AD16)</f>
      </c>
      <c r="AF16" s="60">
        <f>-'Annahmen'!AD237</f>
      </c>
      <c r="AG16" s="60">
        <f>-'Annahmen'!AE237</f>
      </c>
      <c r="AH16" s="60">
        <f>-'Annahmen'!AF237</f>
      </c>
      <c r="AI16" s="60">
        <f>-'Annahmen'!AG237</f>
      </c>
      <c r="AJ16" s="60">
        <f>-'Annahmen'!AH237</f>
      </c>
      <c r="AK16" s="60">
        <f>-'Annahmen'!AI237</f>
      </c>
      <c r="AL16" s="60">
        <f>-'Annahmen'!AJ237</f>
      </c>
      <c r="AM16" s="60">
        <f>-'Annahmen'!AK237</f>
      </c>
      <c r="AN16" s="60">
        <f>-'Annahmen'!AL237</f>
      </c>
      <c r="AO16" s="60">
        <f>-'Annahmen'!AM237</f>
      </c>
      <c r="AP16" s="60">
        <f>-'Annahmen'!AN237</f>
      </c>
      <c r="AQ16" s="60">
        <f>-'Annahmen'!AO237</f>
      </c>
      <c r="AR16" s="61">
        <f>SUM(AF16:AQ16)</f>
      </c>
    </row>
    <row r="17" spans="2:44" x14ac:dyDescent="0.25">
      <c r="B17" s="19" t="s">
        <v>376</v>
      </c>
      <c r="C17" s="59">
        <v>0</v>
      </c>
      <c r="D17" s="59">
        <v>0</v>
      </c>
      <c r="E17" s="59">
        <v>0</v>
      </c>
      <c r="F17" s="60">
        <f>-'Annahmen'!D238</f>
      </c>
      <c r="G17" s="60">
        <f>-'Annahmen'!E238</f>
      </c>
      <c r="H17" s="60">
        <f>-'Annahmen'!F238</f>
      </c>
      <c r="I17" s="60">
        <f>-'Annahmen'!G238</f>
      </c>
      <c r="J17" s="60">
        <f>-'Annahmen'!H238</f>
      </c>
      <c r="K17" s="60">
        <f>-'Annahmen'!I238</f>
      </c>
      <c r="L17" s="60">
        <f>-'Annahmen'!J238</f>
      </c>
      <c r="M17" s="60">
        <f>-'Annahmen'!K238</f>
      </c>
      <c r="N17" s="60">
        <f>-'Annahmen'!L238</f>
      </c>
      <c r="O17" s="60">
        <f>-'Annahmen'!M238</f>
      </c>
      <c r="P17" s="60">
        <f>-'Annahmen'!N238</f>
      </c>
      <c r="Q17" s="60">
        <f>-'Annahmen'!O238</f>
      </c>
      <c r="R17" s="61">
        <f>SUM(F17:Q17)</f>
      </c>
      <c r="S17" s="60">
        <f>-'Annahmen'!Q238</f>
      </c>
      <c r="T17" s="60">
        <f>-'Annahmen'!R238</f>
      </c>
      <c r="U17" s="60">
        <f>-'Annahmen'!S238</f>
      </c>
      <c r="V17" s="60">
        <f>-'Annahmen'!T238</f>
      </c>
      <c r="W17" s="60">
        <f>-'Annahmen'!U238</f>
      </c>
      <c r="X17" s="60">
        <f>-'Annahmen'!V238</f>
      </c>
      <c r="Y17" s="60">
        <f>-'Annahmen'!W238</f>
      </c>
      <c r="Z17" s="60">
        <f>-'Annahmen'!X238</f>
      </c>
      <c r="AA17" s="60">
        <f>-'Annahmen'!Y238</f>
      </c>
      <c r="AB17" s="60">
        <f>-'Annahmen'!Z238</f>
      </c>
      <c r="AC17" s="60">
        <f>-'Annahmen'!AA238</f>
      </c>
      <c r="AD17" s="60">
        <f>-'Annahmen'!AB238</f>
      </c>
      <c r="AE17" s="61">
        <f>SUM(S17:AD17)</f>
      </c>
      <c r="AF17" s="60">
        <f>-'Annahmen'!AD238</f>
      </c>
      <c r="AG17" s="60">
        <f>-'Annahmen'!AE238</f>
      </c>
      <c r="AH17" s="60">
        <f>-'Annahmen'!AF238</f>
      </c>
      <c r="AI17" s="60">
        <f>-'Annahmen'!AG238</f>
      </c>
      <c r="AJ17" s="60">
        <f>-'Annahmen'!AH238</f>
      </c>
      <c r="AK17" s="60">
        <f>-'Annahmen'!AI238</f>
      </c>
      <c r="AL17" s="60">
        <f>-'Annahmen'!AJ238</f>
      </c>
      <c r="AM17" s="60">
        <f>-'Annahmen'!AK238</f>
      </c>
      <c r="AN17" s="60">
        <f>-'Annahmen'!AL238</f>
      </c>
      <c r="AO17" s="60">
        <f>-'Annahmen'!AM238</f>
      </c>
      <c r="AP17" s="60">
        <f>-'Annahmen'!AN238</f>
      </c>
      <c r="AQ17" s="60">
        <f>-'Annahmen'!AO238</f>
      </c>
      <c r="AR17" s="61">
        <f>SUM(AF17:AQ17)</f>
      </c>
    </row>
    <row r="18" spans="2:44" x14ac:dyDescent="0.25">
      <c r="B18" s="19" t="s">
        <v>377</v>
      </c>
      <c r="C18" s="59">
        <v>0</v>
      </c>
      <c r="D18" s="59">
        <v>0</v>
      </c>
      <c r="E18" s="59">
        <v>0</v>
      </c>
      <c r="F18" s="60">
        <f>-'Annahmen'!D240</f>
      </c>
      <c r="G18" s="60">
        <f>-'Annahmen'!E240</f>
      </c>
      <c r="H18" s="60">
        <f>-'Annahmen'!F240</f>
      </c>
      <c r="I18" s="60">
        <f>-'Annahmen'!G240</f>
      </c>
      <c r="J18" s="60">
        <f>-'Annahmen'!H240</f>
      </c>
      <c r="K18" s="60">
        <f>-'Annahmen'!I240</f>
      </c>
      <c r="L18" s="60">
        <f>-'Annahmen'!J240</f>
      </c>
      <c r="M18" s="60">
        <f>-'Annahmen'!K240</f>
      </c>
      <c r="N18" s="60">
        <f>-'Annahmen'!L240</f>
      </c>
      <c r="O18" s="60">
        <f>-'Annahmen'!M240</f>
      </c>
      <c r="P18" s="60">
        <f>-'Annahmen'!N240</f>
      </c>
      <c r="Q18" s="60">
        <f>-'Annahmen'!O240</f>
      </c>
      <c r="R18" s="61">
        <f>SUM(F18:Q18)</f>
      </c>
      <c r="S18" s="60">
        <f>-'Annahmen'!Q240</f>
      </c>
      <c r="T18" s="60">
        <f>-'Annahmen'!R240</f>
      </c>
      <c r="U18" s="60">
        <f>-'Annahmen'!S240</f>
      </c>
      <c r="V18" s="60">
        <f>-'Annahmen'!T240</f>
      </c>
      <c r="W18" s="60">
        <f>-'Annahmen'!U240</f>
      </c>
      <c r="X18" s="60">
        <f>-'Annahmen'!V240</f>
      </c>
      <c r="Y18" s="60">
        <f>-'Annahmen'!W240</f>
      </c>
      <c r="Z18" s="60">
        <f>-'Annahmen'!X240</f>
      </c>
      <c r="AA18" s="60">
        <f>-'Annahmen'!Y240</f>
      </c>
      <c r="AB18" s="60">
        <f>-'Annahmen'!Z240</f>
      </c>
      <c r="AC18" s="60">
        <f>-'Annahmen'!AA240</f>
      </c>
      <c r="AD18" s="60">
        <f>-'Annahmen'!AB240</f>
      </c>
      <c r="AE18" s="61">
        <f>SUM(S18:AD18)</f>
      </c>
      <c r="AF18" s="60">
        <f>-'Annahmen'!AD240</f>
      </c>
      <c r="AG18" s="60">
        <f>-'Annahmen'!AE240</f>
      </c>
      <c r="AH18" s="60">
        <f>-'Annahmen'!AF240</f>
      </c>
      <c r="AI18" s="60">
        <f>-'Annahmen'!AG240</f>
      </c>
      <c r="AJ18" s="60">
        <f>-'Annahmen'!AH240</f>
      </c>
      <c r="AK18" s="60">
        <f>-'Annahmen'!AI240</f>
      </c>
      <c r="AL18" s="60">
        <f>-'Annahmen'!AJ240</f>
      </c>
      <c r="AM18" s="60">
        <f>-'Annahmen'!AK240</f>
      </c>
      <c r="AN18" s="60">
        <f>-'Annahmen'!AL240</f>
      </c>
      <c r="AO18" s="60">
        <f>-'Annahmen'!AM240</f>
      </c>
      <c r="AP18" s="60">
        <f>-'Annahmen'!AN240</f>
      </c>
      <c r="AQ18" s="60">
        <f>-'Annahmen'!AO240</f>
      </c>
      <c r="AR18" s="61">
        <f>SUM(AF18:AQ18)</f>
      </c>
    </row>
    <row r="19" spans="2:44" x14ac:dyDescent="0.25">
      <c r="B19" s="19" t="s">
        <v>378</v>
      </c>
      <c r="C19" s="59">
        <v>0</v>
      </c>
      <c r="D19" s="59">
        <v>-254000</v>
      </c>
      <c r="E19" s="59">
        <v>-611000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s="61">
        <f>SUM(F19:Q19)</f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 s="61">
        <f>SUM(S19:AD19)</f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 s="61">
        <f>SUM(AF19:AQ19)</f>
      </c>
    </row>
    <row r="20" spans="2:44" x14ac:dyDescent="0.25">
      <c r="B20" s="19" t="s">
        <v>379</v>
      </c>
      <c r="C20" s="59">
        <v>0</v>
      </c>
      <c r="D20" s="59">
        <v>0</v>
      </c>
      <c r="E20" s="59">
        <v>0</v>
      </c>
      <c r="F20" s="60">
        <f>'Annahmen'!D244</f>
      </c>
      <c r="G20" s="60">
        <f>'Annahmen'!E244</f>
      </c>
      <c r="H20" s="60">
        <f>'Annahmen'!F244</f>
      </c>
      <c r="I20" s="60">
        <f>'Annahmen'!G244</f>
      </c>
      <c r="J20" s="60">
        <f>'Annahmen'!H244</f>
      </c>
      <c r="K20" s="60">
        <f>'Annahmen'!I244</f>
      </c>
      <c r="L20" s="60">
        <f>'Annahmen'!J244</f>
      </c>
      <c r="M20" s="60">
        <f>'Annahmen'!K244</f>
      </c>
      <c r="N20" s="60">
        <f>'Annahmen'!L244</f>
      </c>
      <c r="O20" s="60">
        <f>'Annahmen'!M244</f>
      </c>
      <c r="P20" s="60">
        <f>'Annahmen'!N244</f>
      </c>
      <c r="Q20" s="60">
        <f>'Annahmen'!O244</f>
      </c>
      <c r="R20" s="61">
        <f>SUM(F20:Q20)</f>
      </c>
      <c r="S20" s="60">
        <f>'Annahmen'!Q244</f>
      </c>
      <c r="T20" s="60">
        <f>'Annahmen'!R244</f>
      </c>
      <c r="U20" s="60">
        <f>'Annahmen'!S244</f>
      </c>
      <c r="V20" s="60">
        <f>'Annahmen'!T244</f>
      </c>
      <c r="W20" s="60">
        <f>'Annahmen'!U244</f>
      </c>
      <c r="X20" s="60">
        <f>'Annahmen'!V244</f>
      </c>
      <c r="Y20" s="60">
        <f>'Annahmen'!W244</f>
      </c>
      <c r="Z20" s="60">
        <f>'Annahmen'!X244</f>
      </c>
      <c r="AA20" s="60">
        <f>'Annahmen'!Y244</f>
      </c>
      <c r="AB20" s="60">
        <f>'Annahmen'!Z244</f>
      </c>
      <c r="AC20" s="60">
        <f>'Annahmen'!AA244</f>
      </c>
      <c r="AD20" s="60">
        <f>'Annahmen'!AB244</f>
      </c>
      <c r="AE20" s="61">
        <f>SUM(S20:AD20)</f>
      </c>
      <c r="AF20" s="60">
        <f>'Annahmen'!AD244</f>
      </c>
      <c r="AG20" s="60">
        <f>'Annahmen'!AE244</f>
      </c>
      <c r="AH20" s="60">
        <f>'Annahmen'!AF244</f>
      </c>
      <c r="AI20" s="60">
        <f>'Annahmen'!AG244</f>
      </c>
      <c r="AJ20" s="60">
        <f>'Annahmen'!AH244</f>
      </c>
      <c r="AK20" s="60">
        <f>'Annahmen'!AI244</f>
      </c>
      <c r="AL20" s="60">
        <f>'Annahmen'!AJ244</f>
      </c>
      <c r="AM20" s="60">
        <f>'Annahmen'!AK244</f>
      </c>
      <c r="AN20" s="60">
        <f>'Annahmen'!AL244</f>
      </c>
      <c r="AO20" s="60">
        <f>'Annahmen'!AM244</f>
      </c>
      <c r="AP20" s="60">
        <f>'Annahmen'!AN244</f>
      </c>
      <c r="AQ20" s="60">
        <f>'Annahmen'!AO244</f>
      </c>
      <c r="AR20" s="61">
        <f>SUM(AF20:AQ20)</f>
      </c>
    </row>
    <row r="21" spans="3:44" x14ac:dyDescent="0.25">
      <c r="C21" s="65"/>
      <c r="D21" s="65"/>
      <c r="E21" s="65"/>
      <c r="R21" s="65"/>
      <c r="AE21" s="65"/>
      <c r="AR21" s="65"/>
    </row>
    <row r="22" spans="2:44" x14ac:dyDescent="0.25">
      <c r="B22" s="29" t="s">
        <v>380</v>
      </c>
      <c r="C22" s="62">
        <v>-34000</v>
      </c>
      <c r="D22" s="62">
        <v>-259000</v>
      </c>
      <c r="E22" s="62">
        <v>-523000</v>
      </c>
      <c r="F22" s="63">
        <f>SUM(F15:F20)</f>
      </c>
      <c r="G22" s="63">
        <f>SUM(G15:G20)</f>
      </c>
      <c r="H22" s="63">
        <f>SUM(H15:H20)</f>
      </c>
      <c r="I22" s="63">
        <f>SUM(I15:I20)</f>
      </c>
      <c r="J22" s="63">
        <f>SUM(J15:J20)</f>
      </c>
      <c r="K22" s="63">
        <f>SUM(K15:K20)</f>
      </c>
      <c r="L22" s="63">
        <f>SUM(L15:L20)</f>
      </c>
      <c r="M22" s="63">
        <f>SUM(M15:M20)</f>
      </c>
      <c r="N22" s="63">
        <f>SUM(N15:N20)</f>
      </c>
      <c r="O22" s="63">
        <f>SUM(O15:O20)</f>
      </c>
      <c r="P22" s="63">
        <f>SUM(P15:P20)</f>
      </c>
      <c r="Q22" s="63">
        <f>SUM(Q15:Q20)</f>
      </c>
      <c r="R22" s="64">
        <f>SUM(F22:Q22)</f>
      </c>
      <c r="S22" s="63">
        <f>SUM(S15:S20)</f>
      </c>
      <c r="T22" s="63">
        <f>SUM(T15:T20)</f>
      </c>
      <c r="U22" s="63">
        <f>SUM(U15:U20)</f>
      </c>
      <c r="V22" s="63">
        <f>SUM(V15:V20)</f>
      </c>
      <c r="W22" s="63">
        <f>SUM(W15:W20)</f>
      </c>
      <c r="X22" s="63">
        <f>SUM(X15:X20)</f>
      </c>
      <c r="Y22" s="63">
        <f>SUM(Y15:Y20)</f>
      </c>
      <c r="Z22" s="63">
        <f>SUM(Z15:Z20)</f>
      </c>
      <c r="AA22" s="63">
        <f>SUM(AA15:AA20)</f>
      </c>
      <c r="AB22" s="63">
        <f>SUM(AB15:AB20)</f>
      </c>
      <c r="AC22" s="63">
        <f>SUM(AC15:AC20)</f>
      </c>
      <c r="AD22" s="63">
        <f>SUM(AD15:AD20)</f>
      </c>
      <c r="AE22" s="64">
        <f>SUM(S22:AD22)</f>
      </c>
      <c r="AF22" s="63">
        <f>SUM(AF15:AF20)</f>
      </c>
      <c r="AG22" s="63">
        <f>SUM(AG15:AG20)</f>
      </c>
      <c r="AH22" s="63">
        <f>SUM(AH15:AH20)</f>
      </c>
      <c r="AI22" s="63">
        <f>SUM(AI15:AI20)</f>
      </c>
      <c r="AJ22" s="63">
        <f>SUM(AJ15:AJ20)</f>
      </c>
      <c r="AK22" s="63">
        <f>SUM(AK15:AK20)</f>
      </c>
      <c r="AL22" s="63">
        <f>SUM(AL15:AL20)</f>
      </c>
      <c r="AM22" s="63">
        <f>SUM(AM15:AM20)</f>
      </c>
      <c r="AN22" s="63">
        <f>SUM(AN15:AN20)</f>
      </c>
      <c r="AO22" s="63">
        <f>SUM(AO15:AO20)</f>
      </c>
      <c r="AP22" s="63">
        <f>SUM(AP15:AP20)</f>
      </c>
      <c r="AQ22" s="63">
        <f>SUM(AQ15:AQ20)</f>
      </c>
      <c r="AR22" s="64">
        <f>SUM(AF22:AQ22)</f>
      </c>
    </row>
    <row r="23" spans="3:44" x14ac:dyDescent="0.25">
      <c r="C23" s="65"/>
      <c r="D23" s="65"/>
      <c r="E23" s="65"/>
      <c r="R23" s="65"/>
      <c r="AE23" s="65"/>
      <c r="AR23" s="65"/>
    </row>
    <row r="24" spans="2:44" x14ac:dyDescent="0.25">
      <c r="B24" s="29" t="s">
        <v>381</v>
      </c>
      <c r="C24" s="62">
        <v>180000</v>
      </c>
      <c r="D24" s="62">
        <v>80000</v>
      </c>
      <c r="E24" s="62">
        <v>160000</v>
      </c>
      <c r="F24" s="63">
        <f>F10+F14+F22</f>
      </c>
      <c r="G24" s="63">
        <f>G10+G14+G22</f>
      </c>
      <c r="H24" s="63">
        <f>H10+H14+H22</f>
      </c>
      <c r="I24" s="63">
        <f>I10+I14+I22</f>
      </c>
      <c r="J24" s="63">
        <f>J10+J14+J22</f>
      </c>
      <c r="K24" s="63">
        <f>K10+K14+K22</f>
      </c>
      <c r="L24" s="63">
        <f>L10+L14+L22</f>
      </c>
      <c r="M24" s="63">
        <f>M10+M14+M22</f>
      </c>
      <c r="N24" s="63">
        <f>N10+N14+N22</f>
      </c>
      <c r="O24" s="63">
        <f>O10+O14+O22</f>
      </c>
      <c r="P24" s="63">
        <f>P10+P14+P22</f>
      </c>
      <c r="Q24" s="63">
        <f>Q10+Q14+Q22</f>
      </c>
      <c r="R24" s="64">
        <f>SUM(F24:Q24)</f>
      </c>
      <c r="S24" s="63">
        <f>S10+S14+S22</f>
      </c>
      <c r="T24" s="63">
        <f>T10+T14+T22</f>
      </c>
      <c r="U24" s="63">
        <f>U10+U14+U22</f>
      </c>
      <c r="V24" s="63">
        <f>V10+V14+V22</f>
      </c>
      <c r="W24" s="63">
        <f>W10+W14+W22</f>
      </c>
      <c r="X24" s="63">
        <f>X10+X14+X22</f>
      </c>
      <c r="Y24" s="63">
        <f>Y10+Y14+Y22</f>
      </c>
      <c r="Z24" s="63">
        <f>Z10+Z14+Z22</f>
      </c>
      <c r="AA24" s="63">
        <f>AA10+AA14+AA22</f>
      </c>
      <c r="AB24" s="63">
        <f>AB10+AB14+AB22</f>
      </c>
      <c r="AC24" s="63">
        <f>AC10+AC14+AC22</f>
      </c>
      <c r="AD24" s="63">
        <f>AD10+AD14+AD22</f>
      </c>
      <c r="AE24" s="64">
        <f>SUM(S24:AD24)</f>
      </c>
      <c r="AF24" s="63">
        <f>AF10+AF14+AF22</f>
      </c>
      <c r="AG24" s="63">
        <f>AG10+AG14+AG22</f>
      </c>
      <c r="AH24" s="63">
        <f>AH10+AH14+AH22</f>
      </c>
      <c r="AI24" s="63">
        <f>AI10+AI14+AI22</f>
      </c>
      <c r="AJ24" s="63">
        <f>AJ10+AJ14+AJ22</f>
      </c>
      <c r="AK24" s="63">
        <f>AK10+AK14+AK22</f>
      </c>
      <c r="AL24" s="63">
        <f>AL10+AL14+AL22</f>
      </c>
      <c r="AM24" s="63">
        <f>AM10+AM14+AM22</f>
      </c>
      <c r="AN24" s="63">
        <f>AN10+AN14+AN22</f>
      </c>
      <c r="AO24" s="63">
        <f>AO10+AO14+AO22</f>
      </c>
      <c r="AP24" s="63">
        <f>AP10+AP14+AP22</f>
      </c>
      <c r="AQ24" s="63">
        <f>AQ10+AQ14+AQ22</f>
      </c>
      <c r="AR24" s="64">
        <f>SUM(AF24:AQ24)</f>
      </c>
    </row>
    <row r="25" spans="2:44" x14ac:dyDescent="0.25">
      <c r="B25" s="19" t="s">
        <v>382</v>
      </c>
      <c r="C25" s="59">
        <v>0</v>
      </c>
      <c r="D25" s="59">
        <v>180000</v>
      </c>
      <c r="E25" s="59">
        <v>260000</v>
      </c>
      <c r="F25" s="60">
        <f>E26</f>
      </c>
      <c r="G25" s="60">
        <f>F26</f>
      </c>
      <c r="H25" s="60">
        <f>G26</f>
      </c>
      <c r="I25" s="60">
        <f>H26</f>
      </c>
      <c r="J25" s="60">
        <f>I26</f>
      </c>
      <c r="K25" s="60">
        <f>J26</f>
      </c>
      <c r="L25" s="60">
        <f>K26</f>
      </c>
      <c r="M25" s="60">
        <f>L26</f>
      </c>
      <c r="N25" s="60">
        <f>M26</f>
      </c>
      <c r="O25" s="60">
        <f>N26</f>
      </c>
      <c r="P25" s="60">
        <f>O26</f>
      </c>
      <c r="Q25" s="60">
        <f>P26</f>
      </c>
      <c r="R25" s="73">
        <f>F25</f>
      </c>
      <c r="S25" s="60">
        <f>Q26</f>
      </c>
      <c r="T25" s="60">
        <f>S26</f>
      </c>
      <c r="U25" s="60">
        <f>T26</f>
      </c>
      <c r="V25" s="60">
        <f>U26</f>
      </c>
      <c r="W25" s="60">
        <f>V26</f>
      </c>
      <c r="X25" s="60">
        <f>W26</f>
      </c>
      <c r="Y25" s="60">
        <f>X26</f>
      </c>
      <c r="Z25" s="60">
        <f>Y26</f>
      </c>
      <c r="AA25" s="60">
        <f>Z26</f>
      </c>
      <c r="AB25" s="60">
        <f>AA26</f>
      </c>
      <c r="AC25" s="60">
        <f>AB26</f>
      </c>
      <c r="AD25" s="60">
        <f>AC26</f>
      </c>
      <c r="AE25" s="73">
        <f>S25</f>
      </c>
      <c r="AF25" s="60">
        <f>AD26</f>
      </c>
      <c r="AG25" s="60">
        <f>AF26</f>
      </c>
      <c r="AH25" s="60">
        <f>AG26</f>
      </c>
      <c r="AI25" s="60">
        <f>AH26</f>
      </c>
      <c r="AJ25" s="60">
        <f>AI26</f>
      </c>
      <c r="AK25" s="60">
        <f>AJ26</f>
      </c>
      <c r="AL25" s="60">
        <f>AK26</f>
      </c>
      <c r="AM25" s="60">
        <f>AL26</f>
      </c>
      <c r="AN25" s="60">
        <f>AM26</f>
      </c>
      <c r="AO25" s="60">
        <f>AN26</f>
      </c>
      <c r="AP25" s="60">
        <f>AO26</f>
      </c>
      <c r="AQ25" s="60">
        <f>AP26</f>
      </c>
      <c r="AR25" s="73">
        <f>AF25</f>
      </c>
    </row>
    <row r="26" spans="2:44" x14ac:dyDescent="0.25">
      <c r="B26" s="29" t="s">
        <v>383</v>
      </c>
      <c r="C26" s="66">
        <v>180000</v>
      </c>
      <c r="D26" s="66">
        <v>260000</v>
      </c>
      <c r="E26" s="66">
        <v>420000</v>
      </c>
      <c r="F26" s="67">
        <f>F25+F24</f>
      </c>
      <c r="G26" s="67">
        <f>G25+G24</f>
      </c>
      <c r="H26" s="67">
        <f>H25+H24</f>
      </c>
      <c r="I26" s="67">
        <f>I25+I24</f>
      </c>
      <c r="J26" s="67">
        <f>J25+J24</f>
      </c>
      <c r="K26" s="67">
        <f>K25+K24</f>
      </c>
      <c r="L26" s="67">
        <f>L25+L24</f>
      </c>
      <c r="M26" s="67">
        <f>M25+M24</f>
      </c>
      <c r="N26" s="67">
        <f>N25+N24</f>
      </c>
      <c r="O26" s="67">
        <f>O25+O24</f>
      </c>
      <c r="P26" s="67">
        <f>P25+P24</f>
      </c>
      <c r="Q26" s="67">
        <f>Q25+Q24</f>
      </c>
      <c r="R26" s="68">
        <f>Q26</f>
      </c>
      <c r="S26" s="67">
        <f>S25+S24</f>
      </c>
      <c r="T26" s="67">
        <f>T25+T24</f>
      </c>
      <c r="U26" s="67">
        <f>U25+U24</f>
      </c>
      <c r="V26" s="67">
        <f>V25+V24</f>
      </c>
      <c r="W26" s="67">
        <f>W25+W24</f>
      </c>
      <c r="X26" s="67">
        <f>X25+X24</f>
      </c>
      <c r="Y26" s="67">
        <f>Y25+Y24</f>
      </c>
      <c r="Z26" s="67">
        <f>Z25+Z24</f>
      </c>
      <c r="AA26" s="67">
        <f>AA25+AA24</f>
      </c>
      <c r="AB26" s="67">
        <f>AB25+AB24</f>
      </c>
      <c r="AC26" s="67">
        <f>AC25+AC24</f>
      </c>
      <c r="AD26" s="67">
        <f>AD25+AD24</f>
      </c>
      <c r="AE26" s="68">
        <f>AD26</f>
      </c>
      <c r="AF26" s="67">
        <f>AF25+AF24</f>
      </c>
      <c r="AG26" s="67">
        <f>AG25+AG24</f>
      </c>
      <c r="AH26" s="67">
        <f>AH25+AH24</f>
      </c>
      <c r="AI26" s="67">
        <f>AI25+AI24</f>
      </c>
      <c r="AJ26" s="67">
        <f>AJ25+AJ24</f>
      </c>
      <c r="AK26" s="67">
        <f>AK25+AK24</f>
      </c>
      <c r="AL26" s="67">
        <f>AL25+AL24</f>
      </c>
      <c r="AM26" s="67">
        <f>AM25+AM24</f>
      </c>
      <c r="AN26" s="67">
        <f>AN25+AN24</f>
      </c>
      <c r="AO26" s="67">
        <f>AO25+AO24</f>
      </c>
      <c r="AP26" s="67">
        <f>AP25+AP24</f>
      </c>
      <c r="AQ26" s="67">
        <f>AQ25+AQ24</f>
      </c>
      <c r="AR26" s="68">
        <f>AQ26</f>
      </c>
    </row>
    <row r="28" ht="20" customHeight="1" spans="2:44" x14ac:dyDescent="0.25">
      <c r="B28" s="52" t="s">
        <v>384</v>
      </c>
      <c r="C28" s="53" t="s">
        <v>299</v>
      </c>
      <c r="D28" s="53" t="s">
        <v>300</v>
      </c>
      <c r="E28" s="53" t="s">
        <v>301</v>
      </c>
      <c r="F28" s="74" t="s">
        <v>220</v>
      </c>
      <c r="G28" s="74" t="s">
        <v>221</v>
      </c>
      <c r="H28" s="74" t="s">
        <v>222</v>
      </c>
      <c r="I28" s="74" t="s">
        <v>223</v>
      </c>
      <c r="J28" s="74" t="s">
        <v>224</v>
      </c>
      <c r="K28" s="74" t="s">
        <v>225</v>
      </c>
      <c r="L28" s="74" t="s">
        <v>226</v>
      </c>
      <c r="M28" s="74" t="s">
        <v>227</v>
      </c>
      <c r="N28" s="74" t="s">
        <v>228</v>
      </c>
      <c r="O28" s="74" t="s">
        <v>229</v>
      </c>
      <c r="P28" s="74" t="s">
        <v>230</v>
      </c>
      <c r="Q28" s="74" t="s">
        <v>231</v>
      </c>
      <c r="R28" s="53" t="s">
        <v>302</v>
      </c>
      <c r="S28" s="74" t="s">
        <v>233</v>
      </c>
      <c r="T28" s="74" t="s">
        <v>234</v>
      </c>
      <c r="U28" s="74" t="s">
        <v>235</v>
      </c>
      <c r="V28" s="74" t="s">
        <v>236</v>
      </c>
      <c r="W28" s="74" t="s">
        <v>237</v>
      </c>
      <c r="X28" s="74" t="s">
        <v>238</v>
      </c>
      <c r="Y28" s="74" t="s">
        <v>239</v>
      </c>
      <c r="Z28" s="74" t="s">
        <v>240</v>
      </c>
      <c r="AA28" s="74" t="s">
        <v>241</v>
      </c>
      <c r="AB28" s="74" t="s">
        <v>242</v>
      </c>
      <c r="AC28" s="74" t="s">
        <v>243</v>
      </c>
      <c r="AD28" s="74" t="s">
        <v>244</v>
      </c>
      <c r="AE28" s="53" t="s">
        <v>303</v>
      </c>
      <c r="AF28" s="74" t="s">
        <v>246</v>
      </c>
      <c r="AG28" s="74" t="s">
        <v>247</v>
      </c>
      <c r="AH28" s="74" t="s">
        <v>248</v>
      </c>
      <c r="AI28" s="74" t="s">
        <v>249</v>
      </c>
      <c r="AJ28" s="74" t="s">
        <v>250</v>
      </c>
      <c r="AK28" s="74" t="s">
        <v>251</v>
      </c>
      <c r="AL28" s="74" t="s">
        <v>252</v>
      </c>
      <c r="AM28" s="74" t="s">
        <v>253</v>
      </c>
      <c r="AN28" s="74" t="s">
        <v>254</v>
      </c>
      <c r="AO28" s="74" t="s">
        <v>255</v>
      </c>
      <c r="AP28" s="74" t="s">
        <v>256</v>
      </c>
      <c r="AQ28" s="74" t="s">
        <v>257</v>
      </c>
      <c r="AR28" s="53" t="s">
        <v>304</v>
      </c>
    </row>
    <row r="29" spans="2:44" x14ac:dyDescent="0.25">
      <c r="B29" s="19" t="s">
        <v>385</v>
      </c>
      <c r="C29" s="61">
        <f>C10+C14</f>
      </c>
      <c r="D29" s="61">
        <f>D10+D14</f>
      </c>
      <c r="E29" s="61">
        <f>E10+E14</f>
      </c>
      <c r="F29" s="41">
        <f>F10+F14</f>
      </c>
      <c r="G29" s="41">
        <f>G10+G14</f>
      </c>
      <c r="H29" s="41">
        <f>H10+H14</f>
      </c>
      <c r="I29" s="41">
        <f>I10+I14</f>
      </c>
      <c r="J29" s="41">
        <f>J10+J14</f>
      </c>
      <c r="K29" s="41">
        <f>K10+K14</f>
      </c>
      <c r="L29" s="41">
        <f>L10+L14</f>
      </c>
      <c r="M29" s="41">
        <f>M10+M14</f>
      </c>
      <c r="N29" s="41">
        <f>N10+N14</f>
      </c>
      <c r="O29" s="41">
        <f>O10+O14</f>
      </c>
      <c r="P29" s="41">
        <f>P10+P14</f>
      </c>
      <c r="Q29" s="41">
        <f>Q10+Q14</f>
      </c>
      <c r="R29" s="61">
        <f>R10+R14</f>
      </c>
      <c r="S29" s="41">
        <f>S10+S14</f>
      </c>
      <c r="T29" s="41">
        <f>T10+T14</f>
      </c>
      <c r="U29" s="41">
        <f>U10+U14</f>
      </c>
      <c r="V29" s="41">
        <f>V10+V14</f>
      </c>
      <c r="W29" s="41">
        <f>W10+W14</f>
      </c>
      <c r="X29" s="41">
        <f>X10+X14</f>
      </c>
      <c r="Y29" s="41">
        <f>Y10+Y14</f>
      </c>
      <c r="Z29" s="41">
        <f>Z10+Z14</f>
      </c>
      <c r="AA29" s="41">
        <f>AA10+AA14</f>
      </c>
      <c r="AB29" s="41">
        <f>AB10+AB14</f>
      </c>
      <c r="AC29" s="41">
        <f>AC10+AC14</f>
      </c>
      <c r="AD29" s="41">
        <f>AD10+AD14</f>
      </c>
      <c r="AE29" s="61">
        <f>AE10+AE14</f>
      </c>
      <c r="AF29" s="41">
        <f>AF10+AF14</f>
      </c>
      <c r="AG29" s="41">
        <f>AG10+AG14</f>
      </c>
      <c r="AH29" s="41">
        <f>AH10+AH14</f>
      </c>
      <c r="AI29" s="41">
        <f>AI10+AI14</f>
      </c>
      <c r="AJ29" s="41">
        <f>AJ10+AJ14</f>
      </c>
      <c r="AK29" s="41">
        <f>AK10+AK14</f>
      </c>
      <c r="AL29" s="41">
        <f>AL10+AL14</f>
      </c>
      <c r="AM29" s="41">
        <f>AM10+AM14</f>
      </c>
      <c r="AN29" s="41">
        <f>AN10+AN14</f>
      </c>
      <c r="AO29" s="41">
        <f>AO10+AO14</f>
      </c>
      <c r="AP29" s="41">
        <f>AP10+AP14</f>
      </c>
      <c r="AQ29" s="41">
        <f>AQ10+AQ14</f>
      </c>
      <c r="AR29" s="61">
        <f>AR10+AR14</f>
      </c>
    </row>
    <row r="30" spans="2:44" x14ac:dyDescent="0.25">
      <c r="B30" s="19" t="s">
        <v>386</v>
      </c>
      <c r="C30" s="61">
        <f>C29</f>
      </c>
      <c r="D30" s="61">
        <f>C30+D29</f>
      </c>
      <c r="E30" s="61">
        <f>D30+E29</f>
      </c>
      <c r="F30" s="41">
        <f>E30+F29</f>
      </c>
      <c r="G30" s="41">
        <f>F30+G29</f>
      </c>
      <c r="H30" s="41">
        <f>G30+H29</f>
      </c>
      <c r="I30" s="41">
        <f>H30+I29</f>
      </c>
      <c r="J30" s="41">
        <f>I30+J29</f>
      </c>
      <c r="K30" s="41">
        <f>J30+K29</f>
      </c>
      <c r="L30" s="41">
        <f>K30+L29</f>
      </c>
      <c r="M30" s="41">
        <f>L30+M29</f>
      </c>
      <c r="N30" s="41">
        <f>M30+N29</f>
      </c>
      <c r="O30" s="41">
        <f>N30+O29</f>
      </c>
      <c r="P30" s="41">
        <f>O30+P29</f>
      </c>
      <c r="Q30" s="41">
        <f>P30+Q29</f>
      </c>
      <c r="R30" s="61">
        <f>Q30</f>
      </c>
      <c r="S30" s="41">
        <f>Q30+S29</f>
      </c>
      <c r="T30" s="41">
        <f>S30+T29</f>
      </c>
      <c r="U30" s="41">
        <f>T30+U29</f>
      </c>
      <c r="V30" s="41">
        <f>U30+V29</f>
      </c>
      <c r="W30" s="41">
        <f>V30+W29</f>
      </c>
      <c r="X30" s="41">
        <f>W30+X29</f>
      </c>
      <c r="Y30" s="41">
        <f>X30+Y29</f>
      </c>
      <c r="Z30" s="41">
        <f>Y30+Z29</f>
      </c>
      <c r="AA30" s="41">
        <f>Z30+AA29</f>
      </c>
      <c r="AB30" s="41">
        <f>AA30+AB29</f>
      </c>
      <c r="AC30" s="41">
        <f>AB30+AC29</f>
      </c>
      <c r="AD30" s="41">
        <f>AC30+AD29</f>
      </c>
      <c r="AE30" s="61">
        <f>AD30</f>
      </c>
      <c r="AF30" s="41">
        <f>AD30+AF29</f>
      </c>
      <c r="AG30" s="41">
        <f>AF30+AG29</f>
      </c>
      <c r="AH30" s="41">
        <f>AG30+AH29</f>
      </c>
      <c r="AI30" s="41">
        <f>AH30+AI29</f>
      </c>
      <c r="AJ30" s="41">
        <f>AI30+AJ29</f>
      </c>
      <c r="AK30" s="41">
        <f>AJ30+AK29</f>
      </c>
      <c r="AL30" s="41">
        <f>AK30+AL29</f>
      </c>
      <c r="AM30" s="41">
        <f>AL30+AM29</f>
      </c>
      <c r="AN30" s="41">
        <f>AM30+AN29</f>
      </c>
      <c r="AO30" s="41">
        <f>AN30+AO29</f>
      </c>
      <c r="AR30" s="65"/>
    </row>
  </sheetData>
  <pageMargins left="0.7" right="0.7" top="0.75" bottom="0.75" header="0.3" footer="0.3"/>
  <pageSetup orientation="landscape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24"/>
  <sheetViews>
    <sheetView workbookViewId="0" showGridLines="0" zoomScale="100"/>
  </sheetViews>
  <sheetFormatPr defaultRowHeight="15" outlineLevelRow="0" outlineLevelCol="0" x14ac:dyDescent="55"/>
  <cols>
    <col min="1" max="1" width="5" customWidth="1"/>
    <col min="2" max="2" width="42" customWidth="1"/>
    <col min="3" max="9" width="16" customWidth="1"/>
  </cols>
  <sheetData>
    <row r="2" ht="28" customHeight="1" spans="2:9" x14ac:dyDescent="0.25">
      <c r="B2" s="15" t="s">
        <v>387</v>
      </c>
      <c r="I2" s="16" t="s">
        <v>298</v>
      </c>
    </row>
    <row r="3" ht="20" customHeight="1" spans="2:9" x14ac:dyDescent="0.25">
      <c r="B3" s="52" t="s">
        <v>388</v>
      </c>
      <c r="C3" s="18" t="s">
        <v>299</v>
      </c>
      <c r="D3" s="18" t="s">
        <v>300</v>
      </c>
      <c r="E3" s="18" t="s">
        <v>301</v>
      </c>
      <c r="F3" s="18" t="s">
        <v>389</v>
      </c>
      <c r="G3" s="18" t="s">
        <v>302</v>
      </c>
      <c r="H3" s="18" t="s">
        <v>303</v>
      </c>
      <c r="I3" s="18" t="s">
        <v>304</v>
      </c>
    </row>
    <row r="4" spans="2:9" x14ac:dyDescent="0.25">
      <c r="B4" s="19" t="s">
        <v>288</v>
      </c>
      <c r="C4" s="75">
        <v>180000</v>
      </c>
      <c r="D4" s="75">
        <v>260000</v>
      </c>
      <c r="E4" s="75">
        <v>420000</v>
      </c>
      <c r="F4" s="76">
        <f>'Bilanz'!E4</f>
      </c>
      <c r="G4" s="76">
        <f>'Kapitalflussrechnung'!Q26</f>
      </c>
      <c r="H4" s="76">
        <f>'Kapitalflussrechnung'!AD26</f>
      </c>
      <c r="I4" s="76">
        <f>'Kapitalflussrechnung'!AQ26</f>
      </c>
    </row>
    <row r="5" spans="2:9" x14ac:dyDescent="0.25">
      <c r="B5" s="19" t="s">
        <v>289</v>
      </c>
      <c r="C5" s="51">
        <v>200000</v>
      </c>
      <c r="D5" s="51">
        <v>275000</v>
      </c>
      <c r="E5" s="51">
        <v>380000</v>
      </c>
      <c r="F5" s="60">
        <f>'Bilanz'!E5</f>
      </c>
      <c r="G5" s="60">
        <f>SUM('GuV'!F4:Q4)*'Annahmen'!$C$164/365</f>
      </c>
      <c r="H5" s="60">
        <f>SUM('GuV'!S4:AD4)*'Annahmen'!$C$164/365</f>
      </c>
      <c r="I5" s="60">
        <f>SUM('GuV'!AF4:AQ4)*'Annahmen'!$C$164/365</f>
      </c>
    </row>
    <row r="6" spans="2:9" x14ac:dyDescent="0.25">
      <c r="B6" s="19" t="s">
        <v>290</v>
      </c>
      <c r="C6" s="51">
        <v>32000</v>
      </c>
      <c r="D6" s="51">
        <v>42000</v>
      </c>
      <c r="E6" s="51">
        <v>55000</v>
      </c>
      <c r="F6" s="60">
        <f>'Bilanz'!E6</f>
      </c>
      <c r="G6" s="60">
        <f>(-SUM('GuV'!F17:Q17))*'Annahmen'!$C$165/365</f>
      </c>
      <c r="H6" s="60">
        <f>(-SUM('GuV'!S17:AD17))*'Annahmen'!$C$165/365</f>
      </c>
      <c r="I6" s="60">
        <f>(-SUM('GuV'!AF17:AQ17))*'Annahmen'!$C$165/365</f>
      </c>
    </row>
    <row r="7" spans="2:9" x14ac:dyDescent="0.25">
      <c r="B7" s="19" t="s">
        <v>291</v>
      </c>
      <c r="C7" s="51">
        <v>260000</v>
      </c>
      <c r="D7" s="51">
        <v>295000</v>
      </c>
      <c r="E7" s="51">
        <v>340000</v>
      </c>
      <c r="F7" s="60">
        <f>'Bilanz'!E7</f>
      </c>
      <c r="G7" s="60">
        <f>F7+SUM('Annahmen'!D232:O232)+SUM('GuV'!F53:Q53)-SUM('Annahmen'!D246:O246)</f>
      </c>
      <c r="H7" s="60">
        <f>G7+SUM('Annahmen'!Q232:AB232)+SUM('GuV'!S53:AD53)-SUM('Annahmen'!Q246:AB246)</f>
      </c>
      <c r="I7" s="60">
        <f>H7+SUM('Annahmen'!AD232:AO232)+SUM('GuV'!AF53:AQ53)-SUM('Annahmen'!AD246:AO246)</f>
      </c>
    </row>
    <row r="9" spans="2:9" x14ac:dyDescent="0.25">
      <c r="B9" s="77" t="s">
        <v>390</v>
      </c>
      <c r="C9" s="78">
        <v>672000</v>
      </c>
      <c r="D9" s="78">
        <v>872000</v>
      </c>
      <c r="E9" s="78">
        <v>1195000</v>
      </c>
      <c r="F9" s="67">
        <f>SUM(F4:F7)</f>
      </c>
      <c r="G9" s="67">
        <f>SUM(G4:G7)</f>
      </c>
      <c r="H9" s="67">
        <f>SUM(H4:H7)</f>
      </c>
      <c r="I9" s="67">
        <f>SUM(I4:I7)</f>
      </c>
    </row>
    <row r="12" ht="20" customHeight="1" spans="2:9" x14ac:dyDescent="0.25">
      <c r="B12" s="52" t="s">
        <v>391</v>
      </c>
      <c r="C12" s="18" t="s">
        <v>299</v>
      </c>
      <c r="D12" s="18" t="s">
        <v>300</v>
      </c>
      <c r="E12" s="18" t="s">
        <v>301</v>
      </c>
      <c r="F12" s="18" t="s">
        <v>389</v>
      </c>
      <c r="G12" s="18" t="s">
        <v>302</v>
      </c>
      <c r="H12" s="18" t="s">
        <v>303</v>
      </c>
      <c r="I12" s="18" t="s">
        <v>304</v>
      </c>
    </row>
    <row r="13" spans="2:9" x14ac:dyDescent="0.25">
      <c r="B13" s="19" t="s">
        <v>292</v>
      </c>
      <c r="C13" s="51">
        <v>95000</v>
      </c>
      <c r="D13" s="51">
        <v>130000</v>
      </c>
      <c r="E13" s="51">
        <v>165000</v>
      </c>
      <c r="F13" s="60">
        <f>'Bilanz'!E13</f>
      </c>
      <c r="G13" s="60">
        <f>(-SUM('GuV'!F17:Q17))*'Annahmen'!$C$166/365</f>
      </c>
      <c r="H13" s="60">
        <f>(-SUM('GuV'!S17:AD17))*'Annahmen'!$C$166/365</f>
      </c>
      <c r="I13" s="60">
        <f>(-SUM('GuV'!AF17:AQ17))*'Annahmen'!$C$166/365</f>
      </c>
    </row>
    <row r="14" spans="2:9" x14ac:dyDescent="0.25">
      <c r="B14" s="19" t="s">
        <v>293</v>
      </c>
      <c r="C14" s="51">
        <v>720000</v>
      </c>
      <c r="D14" s="51">
        <v>840000</v>
      </c>
      <c r="E14" s="51">
        <v>922000</v>
      </c>
      <c r="F14" s="60">
        <f>'Bilanz'!E14</f>
      </c>
      <c r="G14" s="60">
        <f>'Tilgungspläne'!O9</f>
      </c>
      <c r="H14" s="60">
        <f>'Tilgungspläne'!AB9</f>
      </c>
      <c r="I14" s="60">
        <f>'Tilgungspläne'!AO9</f>
      </c>
    </row>
    <row r="16" spans="2:9" x14ac:dyDescent="0.25">
      <c r="B16" s="79" t="s">
        <v>392</v>
      </c>
      <c r="C16" s="80">
        <v>815000</v>
      </c>
      <c r="D16" s="80">
        <v>970000</v>
      </c>
      <c r="E16" s="80">
        <v>1087000</v>
      </c>
      <c r="F16" s="63">
        <f>F13+F14</f>
      </c>
      <c r="G16" s="63">
        <f>G13+G14</f>
      </c>
      <c r="H16" s="63">
        <f>H13+H14</f>
      </c>
      <c r="I16" s="63">
        <f>I13+I14</f>
      </c>
    </row>
    <row r="18" spans="2:9" x14ac:dyDescent="0.25">
      <c r="B18" s="19" t="s">
        <v>294</v>
      </c>
      <c r="C18" s="51">
        <v>310000</v>
      </c>
      <c r="D18" s="51">
        <v>480000</v>
      </c>
      <c r="E18" s="51">
        <v>680000</v>
      </c>
      <c r="F18" s="60">
        <f>'Bilanz'!E18</f>
      </c>
      <c r="G18" s="60">
        <f>F18+SUM('Annahmen'!D247:O247)</f>
      </c>
      <c r="H18" s="60">
        <f>G18+SUM('Annahmen'!Q247:AB247)</f>
      </c>
      <c r="I18" s="60">
        <f>H18+SUM('Annahmen'!AD247:AO247)</f>
      </c>
    </row>
    <row r="19" spans="2:9" x14ac:dyDescent="0.25">
      <c r="B19" s="19" t="s">
        <v>393</v>
      </c>
      <c r="C19" s="51">
        <v>-453000</v>
      </c>
      <c r="D19" s="51">
        <v>-578000</v>
      </c>
      <c r="E19" s="51">
        <v>-572000</v>
      </c>
      <c r="F19" s="60">
        <f>'Bilanz'!E19</f>
      </c>
      <c r="G19" s="60">
        <f>F19+SUM('GuV'!F59:Q59)-SUM('Annahmen'!D240:O240)</f>
      </c>
      <c r="H19" s="60">
        <f>G19+SUM('GuV'!S59:AD59)-SUM('Annahmen'!Q240:AB240)</f>
      </c>
      <c r="I19" s="60">
        <f>H19+SUM('GuV'!AF59:AQ59)-SUM('Annahmen'!AD240:AO240)</f>
      </c>
    </row>
    <row r="21" spans="2:9" x14ac:dyDescent="0.25">
      <c r="B21" s="79" t="s">
        <v>394</v>
      </c>
      <c r="C21" s="80">
        <v>-143000</v>
      </c>
      <c r="D21" s="80">
        <v>-98000</v>
      </c>
      <c r="E21" s="80">
        <v>108000</v>
      </c>
      <c r="F21" s="63">
        <f>F18+F19</f>
      </c>
      <c r="G21" s="63">
        <f>G18+G19</f>
      </c>
      <c r="H21" s="63">
        <f>H18+H19</f>
      </c>
      <c r="I21" s="63">
        <f>I18+I19</f>
      </c>
    </row>
    <row r="22" spans="2:9" x14ac:dyDescent="0.25">
      <c r="B22" s="77" t="s">
        <v>395</v>
      </c>
      <c r="C22" s="78">
        <v>672000</v>
      </c>
      <c r="D22" s="78">
        <v>872000</v>
      </c>
      <c r="E22" s="78">
        <v>1195000</v>
      </c>
      <c r="F22" s="67">
        <f>F16+F21</f>
      </c>
      <c r="G22" s="67">
        <f>G16+G21</f>
      </c>
      <c r="H22" s="67">
        <f>H16+H21</f>
      </c>
      <c r="I22" s="67">
        <f>I16+I21</f>
      </c>
    </row>
    <row r="24" spans="2:9" x14ac:dyDescent="0.25">
      <c r="B24" s="81" t="s">
        <v>396</v>
      </c>
      <c r="C24" s="82">
        <f>ROUND(C9-C22,0)</f>
      </c>
      <c r="D24" s="82">
        <f>ROUND(D9-D22,0)</f>
      </c>
      <c r="E24" s="82">
        <f>ROUND(E9-E22,0)</f>
      </c>
      <c r="F24" s="83">
        <f>ROUND(F9-F22,0)</f>
      </c>
      <c r="G24" s="83">
        <f>ROUND(G9-G22,0)</f>
      </c>
      <c r="H24" s="83">
        <f>ROUND(H9-H22,0)</f>
      </c>
      <c r="I24" s="83">
        <f>ROUND(I9-I22,0)</f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B2:AO333"/>
  <sheetViews>
    <sheetView workbookViewId="0" showGridLines="0" zoomScale="100"/>
  </sheetViews>
  <sheetFormatPr defaultRowHeight="15" outlineLevelRow="0" outlineLevelCol="0" x14ac:dyDescent="55"/>
  <cols>
    <col min="1" max="1" width="5" customWidth="1"/>
    <col min="2" max="2" width="42" customWidth="1"/>
    <col min="3" max="14" width="22" hidden="1" outlineLevel="1" collapsed="1" customWidth="1"/>
    <col min="15" max="15" width="16" customWidth="1"/>
    <col min="16" max="27" width="16" hidden="1" outlineLevel="1" collapsed="1" customWidth="1"/>
    <col min="28" max="28" width="16" customWidth="1"/>
    <col min="29" max="40" width="16" hidden="1" outlineLevel="1" collapsed="1" customWidth="1"/>
    <col min="41" max="41" width="16" customWidth="1"/>
  </cols>
  <sheetData>
    <row r="2" ht="28" customHeight="1" spans="2:41" x14ac:dyDescent="0.25">
      <c r="B2" s="15" t="s">
        <v>397</v>
      </c>
      <c r="AO2" s="16" t="s">
        <v>298</v>
      </c>
    </row>
    <row r="4" ht="20" customHeight="1" spans="2:41" x14ac:dyDescent="0.25">
      <c r="B4" s="84" t="s">
        <v>398</v>
      </c>
      <c r="C4" s="85" t="s">
        <v>220</v>
      </c>
      <c r="D4" s="85" t="s">
        <v>221</v>
      </c>
      <c r="E4" s="85" t="s">
        <v>222</v>
      </c>
      <c r="F4" s="85" t="s">
        <v>223</v>
      </c>
      <c r="G4" s="85" t="s">
        <v>224</v>
      </c>
      <c r="H4" s="85" t="s">
        <v>225</v>
      </c>
      <c r="I4" s="85" t="s">
        <v>226</v>
      </c>
      <c r="J4" s="85" t="s">
        <v>227</v>
      </c>
      <c r="K4" s="85" t="s">
        <v>228</v>
      </c>
      <c r="L4" s="85" t="s">
        <v>229</v>
      </c>
      <c r="M4" s="85" t="s">
        <v>230</v>
      </c>
      <c r="N4" s="85" t="s">
        <v>231</v>
      </c>
      <c r="O4" s="86" t="s">
        <v>232</v>
      </c>
      <c r="P4" s="85" t="s">
        <v>233</v>
      </c>
      <c r="Q4" s="85" t="s">
        <v>234</v>
      </c>
      <c r="R4" s="85" t="s">
        <v>235</v>
      </c>
      <c r="S4" s="85" t="s">
        <v>236</v>
      </c>
      <c r="T4" s="85" t="s">
        <v>237</v>
      </c>
      <c r="U4" s="85" t="s">
        <v>238</v>
      </c>
      <c r="V4" s="85" t="s">
        <v>239</v>
      </c>
      <c r="W4" s="85" t="s">
        <v>240</v>
      </c>
      <c r="X4" s="85" t="s">
        <v>241</v>
      </c>
      <c r="Y4" s="85" t="s">
        <v>242</v>
      </c>
      <c r="Z4" s="85" t="s">
        <v>243</v>
      </c>
      <c r="AA4" s="85" t="s">
        <v>244</v>
      </c>
      <c r="AB4" s="86" t="s">
        <v>245</v>
      </c>
      <c r="AC4" s="85" t="s">
        <v>246</v>
      </c>
      <c r="AD4" s="85" t="s">
        <v>247</v>
      </c>
      <c r="AE4" s="85" t="s">
        <v>248</v>
      </c>
      <c r="AF4" s="85" t="s">
        <v>249</v>
      </c>
      <c r="AG4" s="85" t="s">
        <v>250</v>
      </c>
      <c r="AH4" s="85" t="s">
        <v>251</v>
      </c>
      <c r="AI4" s="85" t="s">
        <v>252</v>
      </c>
      <c r="AJ4" s="85" t="s">
        <v>253</v>
      </c>
      <c r="AK4" s="85" t="s">
        <v>254</v>
      </c>
      <c r="AL4" s="85" t="s">
        <v>255</v>
      </c>
      <c r="AM4" s="85" t="s">
        <v>256</v>
      </c>
      <c r="AN4" s="85" t="s">
        <v>257</v>
      </c>
      <c r="AO4" s="87" t="s">
        <v>258</v>
      </c>
    </row>
    <row r="5" spans="2:41" x14ac:dyDescent="0.25">
      <c r="B5" s="88" t="s">
        <v>399</v>
      </c>
      <c r="C5" s="51">
        <f>C67+C75+C83+C91+C99</f>
      </c>
      <c r="D5" s="51">
        <f>D67+D75+D83+D91+D99</f>
      </c>
      <c r="E5" s="51">
        <f>E67+E75+E83+E91+E99</f>
      </c>
      <c r="F5" s="51">
        <f>F67+F75+F83+F91+F99</f>
      </c>
      <c r="G5" s="51">
        <f>G67+G75+G83+G91+G99</f>
      </c>
      <c r="H5" s="51">
        <f>H67+H75+H83+H91+H99</f>
      </c>
      <c r="I5" s="51">
        <f>I67+I75+I83+I91+I99</f>
      </c>
      <c r="J5" s="51">
        <f>J67+J75+J83+J91+J99</f>
      </c>
      <c r="K5" s="51">
        <f>K67+K75+K83+K91+K99</f>
      </c>
      <c r="L5" s="51">
        <f>L67+L75+L83+L91+L99</f>
      </c>
      <c r="M5" s="51">
        <f>M67+M75+M83+M91+M99</f>
      </c>
      <c r="N5" s="51">
        <f>N67+N75+N83+N91+N99</f>
      </c>
      <c r="O5" s="51">
        <f>SUM(C5:N5)</f>
      </c>
      <c r="P5" s="51">
        <f>P67+P75+P83+P91+P99</f>
      </c>
      <c r="Q5" s="51">
        <f>Q67+Q75+Q83+Q91+Q99</f>
      </c>
      <c r="R5" s="51">
        <f>R67+R75+R83+R91+R99</f>
      </c>
      <c r="S5" s="51">
        <f>S67+S75+S83+S91+S99</f>
      </c>
      <c r="T5" s="51">
        <f>T67+T75+T83+T91+T99</f>
      </c>
      <c r="U5" s="51">
        <f>U67+U75+U83+U91+U99</f>
      </c>
      <c r="V5" s="51">
        <f>V67+V75+V83+V91+V99</f>
      </c>
      <c r="W5" s="51">
        <f>W67+W75+W83+W91+W99</f>
      </c>
      <c r="X5" s="51">
        <f>X67+X75+X83+X91+X99</f>
      </c>
      <c r="Y5" s="51">
        <f>Y67+Y75+Y83+Y91+Y99</f>
      </c>
      <c r="Z5" s="51">
        <f>Z67+Z75+Z83+Z91+Z99</f>
      </c>
      <c r="AA5" s="51">
        <f>AA67+AA75+AA83+AA91+AA99</f>
      </c>
      <c r="AB5" s="51">
        <f>SUM(P5:AA5)</f>
      </c>
      <c r="AC5" s="51">
        <f>AC67+AC75+AC83+AC91+AC99</f>
      </c>
      <c r="AD5" s="51">
        <f>AD67+AD75+AD83+AD91+AD99</f>
      </c>
      <c r="AE5" s="51">
        <f>AE67+AE75+AE83+AE91+AE99</f>
      </c>
      <c r="AF5" s="51">
        <f>AF67+AF75+AF83+AF91+AF99</f>
      </c>
      <c r="AG5" s="51">
        <f>AG67+AG75+AG83+AG91+AG99</f>
      </c>
      <c r="AH5" s="51">
        <f>AH67+AH75+AH83+AH91+AH99</f>
      </c>
      <c r="AI5" s="51">
        <f>AI67+AI75+AI83+AI91+AI99</f>
      </c>
      <c r="AJ5" s="51">
        <f>AJ67+AJ75+AJ83+AJ91+AJ99</f>
      </c>
      <c r="AK5" s="51">
        <f>AK67+AK75+AK83+AK91+AK99</f>
      </c>
      <c r="AL5" s="51">
        <f>AL67+AL75+AL83+AL91+AL99</f>
      </c>
      <c r="AM5" s="51">
        <f>AM67+AM75+AM83+AM91+AM99</f>
      </c>
      <c r="AN5" s="51">
        <f>AN67+AN75+AN83+AN91+AN99</f>
      </c>
      <c r="AO5" s="59">
        <f>SUM(AC5:AN5)</f>
      </c>
    </row>
    <row r="6" spans="2:41" x14ac:dyDescent="0.25">
      <c r="B6" s="88" t="s">
        <v>400</v>
      </c>
      <c r="C6" s="51">
        <f>C16+C23+C30+C37+C44+C51+C58+C68+C76+C84+C92+C100</f>
      </c>
      <c r="D6" s="51">
        <f>D16+D23+D30+D37+D44+D51+D58+D68+D76+D84+D92+D100</f>
      </c>
      <c r="E6" s="51">
        <f>E16+E23+E30+E37+E44+E51+E58+E68+E76+E84+E92+E100</f>
      </c>
      <c r="F6" s="51">
        <f>F16+F23+F30+F37+F44+F51+F58+F68+F76+F84+F92+F100</f>
      </c>
      <c r="G6" s="51">
        <f>G16+G23+G30+G37+G44+G51+G58+G68+G76+G84+G92+G100</f>
      </c>
      <c r="H6" s="51">
        <f>H16+H23+H30+H37+H44+H51+H58+H68+H76+H84+H92+H100</f>
      </c>
      <c r="I6" s="51">
        <f>I16+I23+I30+I37+I44+I51+I58+I68+I76+I84+I92+I100</f>
      </c>
      <c r="J6" s="51">
        <f>J16+J23+J30+J37+J44+J51+J58+J68+J76+J84+J92+J100</f>
      </c>
      <c r="K6" s="51">
        <f>K16+K23+K30+K37+K44+K51+K58+K68+K76+K84+K92+K100</f>
      </c>
      <c r="L6" s="51">
        <f>L16+L23+L30+L37+L44+L51+L58+L68+L76+L84+L92+L100</f>
      </c>
      <c r="M6" s="51">
        <f>M16+M23+M30+M37+M44+M51+M58+M68+M76+M84+M92+M100</f>
      </c>
      <c r="N6" s="51">
        <f>N16+N23+N30+N37+N44+N51+N58+N68+N76+N84+N92+N100</f>
      </c>
      <c r="O6" s="51">
        <f>SUM(C6:N6)</f>
      </c>
      <c r="P6" s="51">
        <f>P16+P23+P30+P37+P44+P51+P58+P68+P76+P84+P92+P100</f>
      </c>
      <c r="Q6" s="51">
        <f>Q16+Q23+Q30+Q37+Q44+Q51+Q58+Q68+Q76+Q84+Q92+Q100</f>
      </c>
      <c r="R6" s="51">
        <f>R16+R23+R30+R37+R44+R51+R58+R68+R76+R84+R92+R100</f>
      </c>
      <c r="S6" s="51">
        <f>S16+S23+S30+S37+S44+S51+S58+S68+S76+S84+S92+S100</f>
      </c>
      <c r="T6" s="51">
        <f>T16+T23+T30+T37+T44+T51+T58+T68+T76+T84+T92+T100</f>
      </c>
      <c r="U6" s="51">
        <f>U16+U23+U30+U37+U44+U51+U58+U68+U76+U84+U92+U100</f>
      </c>
      <c r="V6" s="51">
        <f>V16+V23+V30+V37+V44+V51+V58+V68+V76+V84+V92+V100</f>
      </c>
      <c r="W6" s="51">
        <f>W16+W23+W30+W37+W44+W51+W58+W68+W76+W84+W92+W100</f>
      </c>
      <c r="X6" s="51">
        <f>X16+X23+X30+X37+X44+X51+X58+X68+X76+X84+X92+X100</f>
      </c>
      <c r="Y6" s="51">
        <f>Y16+Y23+Y30+Y37+Y44+Y51+Y58+Y68+Y76+Y84+Y92+Y100</f>
      </c>
      <c r="Z6" s="51">
        <f>Z16+Z23+Z30+Z37+Z44+Z51+Z58+Z68+Z76+Z84+Z92+Z100</f>
      </c>
      <c r="AA6" s="51">
        <f>AA16+AA23+AA30+AA37+AA44+AA51+AA58+AA68+AA76+AA84+AA92+AA100</f>
      </c>
      <c r="AB6" s="51">
        <f>SUM(P6:AA6)</f>
      </c>
      <c r="AC6" s="51">
        <f>AC16+AC23+AC30+AC37+AC44+AC51+AC58+AC68+AC76+AC84+AC92+AC100</f>
      </c>
      <c r="AD6" s="51">
        <f>AD16+AD23+AD30+AD37+AD44+AD51+AD58+AD68+AD76+AD84+AD92+AD100</f>
      </c>
      <c r="AE6" s="51">
        <f>AE16+AE23+AE30+AE37+AE44+AE51+AE58+AE68+AE76+AE84+AE92+AE100</f>
      </c>
      <c r="AF6" s="51">
        <f>AF16+AF23+AF30+AF37+AF44+AF51+AF58+AF68+AF76+AF84+AF92+AF100</f>
      </c>
      <c r="AG6" s="51">
        <f>AG16+AG23+AG30+AG37+AG44+AG51+AG58+AG68+AG76+AG84+AG92+AG100</f>
      </c>
      <c r="AH6" s="51">
        <f>AH16+AH23+AH30+AH37+AH44+AH51+AH58+AH68+AH76+AH84+AH92+AH100</f>
      </c>
      <c r="AI6" s="51">
        <f>AI16+AI23+AI30+AI37+AI44+AI51+AI58+AI68+AI76+AI84+AI92+AI100</f>
      </c>
      <c r="AJ6" s="51">
        <f>AJ16+AJ23+AJ30+AJ37+AJ44+AJ51+AJ58+AJ68+AJ76+AJ84+AJ92+AJ100</f>
      </c>
      <c r="AK6" s="51">
        <f>AK16+AK23+AK30+AK37+AK44+AK51+AK58+AK68+AK76+AK84+AK92+AK100</f>
      </c>
      <c r="AL6" s="51">
        <f>AL16+AL23+AL30+AL37+AL44+AL51+AL58+AL68+AL76+AL84+AL92+AL100</f>
      </c>
      <c r="AM6" s="51">
        <f>AM16+AM23+AM30+AM37+AM44+AM51+AM58+AM68+AM76+AM84+AM92+AM100</f>
      </c>
      <c r="AN6" s="51">
        <f>AN16+AN23+AN30+AN37+AN44+AN51+AN58+AN68+AN76+AN84+AN92+AN100</f>
      </c>
      <c r="AO6" s="59">
        <f>SUM(AC6:AN6)</f>
      </c>
    </row>
    <row r="7" spans="2:41" x14ac:dyDescent="0.25">
      <c r="B7" s="88" t="s">
        <v>401</v>
      </c>
      <c r="C7" s="51">
        <f>C17+C24+C31+C38+C45+C52+C59</f>
      </c>
      <c r="D7" s="51">
        <f>D17+D24+D31+D38+D45+D52+D59</f>
      </c>
      <c r="E7" s="51">
        <f>E17+E24+E31+E38+E45+E52+E59</f>
      </c>
      <c r="F7" s="51">
        <f>F17+F24+F31+F38+F45+F52+F59</f>
      </c>
      <c r="G7" s="51">
        <f>G17+G24+G31+G38+G45+G52+G59</f>
      </c>
      <c r="H7" s="51">
        <f>H17+H24+H31+H38+H45+H52+H59</f>
      </c>
      <c r="I7" s="51">
        <f>I17+I24+I31+I38+I45+I52+I59</f>
      </c>
      <c r="J7" s="51">
        <f>J17+J24+J31+J38+J45+J52+J59</f>
      </c>
      <c r="K7" s="51">
        <f>K17+K24+K31+K38+K45+K52+K59</f>
      </c>
      <c r="L7" s="51">
        <f>L17+L24+L31+L38+L45+L52+L59</f>
      </c>
      <c r="M7" s="51">
        <f>M17+M24+M31+M38+M45+M52+M59</f>
      </c>
      <c r="N7" s="51">
        <f>N17+N24+N31+N38+N45+N52+N59</f>
      </c>
      <c r="O7" s="51">
        <f>SUM(C7:N7)</f>
      </c>
      <c r="P7" s="51">
        <f>P17+P24+P31+P38+P45+P52+P59</f>
      </c>
      <c r="Q7" s="51">
        <f>Q17+Q24+Q31+Q38+Q45+Q52+Q59</f>
      </c>
      <c r="R7" s="51">
        <f>R17+R24+R31+R38+R45+R52+R59</f>
      </c>
      <c r="S7" s="51">
        <f>S17+S24+S31+S38+S45+S52+S59</f>
      </c>
      <c r="T7" s="51">
        <f>T17+T24+T31+T38+T45+T52+T59</f>
      </c>
      <c r="U7" s="51">
        <f>U17+U24+U31+U38+U45+U52+U59</f>
      </c>
      <c r="V7" s="51">
        <f>V17+V24+V31+V38+V45+V52+V59</f>
      </c>
      <c r="W7" s="51">
        <f>W17+W24+W31+W38+W45+W52+W59</f>
      </c>
      <c r="X7" s="51">
        <f>X17+X24+X31+X38+X45+X52+X59</f>
      </c>
      <c r="Y7" s="51">
        <f>Y17+Y24+Y31+Y38+Y45+Y52+Y59</f>
      </c>
      <c r="Z7" s="51">
        <f>Z17+Z24+Z31+Z38+Z45+Z52+Z59</f>
      </c>
      <c r="AA7" s="51">
        <f>AA17+AA24+AA31+AA38+AA45+AA52+AA59</f>
      </c>
      <c r="AB7" s="51">
        <f>SUM(P7:AA7)</f>
      </c>
      <c r="AC7" s="51">
        <f>AC17+AC24+AC31+AC38+AC45+AC52+AC59</f>
      </c>
      <c r="AD7" s="51">
        <f>AD17+AD24+AD31+AD38+AD45+AD52+AD59</f>
      </c>
      <c r="AE7" s="51">
        <f>AE17+AE24+AE31+AE38+AE45+AE52+AE59</f>
      </c>
      <c r="AF7" s="51">
        <f>AF17+AF24+AF31+AF38+AF45+AF52+AF59</f>
      </c>
      <c r="AG7" s="51">
        <f>AG17+AG24+AG31+AG38+AG45+AG52+AG59</f>
      </c>
      <c r="AH7" s="51">
        <f>AH17+AH24+AH31+AH38+AH45+AH52+AH59</f>
      </c>
      <c r="AI7" s="51">
        <f>AI17+AI24+AI31+AI38+AI45+AI52+AI59</f>
      </c>
      <c r="AJ7" s="51">
        <f>AJ17+AJ24+AJ31+AJ38+AJ45+AJ52+AJ59</f>
      </c>
      <c r="AK7" s="51">
        <f>AK17+AK24+AK31+AK38+AK45+AK52+AK59</f>
      </c>
      <c r="AL7" s="51">
        <f>AL17+AL24+AL31+AL38+AL45+AL52+AL59</f>
      </c>
      <c r="AM7" s="51">
        <f>AM17+AM24+AM31+AM38+AM45+AM52+AM59</f>
      </c>
      <c r="AN7" s="51">
        <f>AN17+AN24+AN31+AN38+AN45+AN52+AN59</f>
      </c>
      <c r="AO7" s="59">
        <f>SUM(AC7:AN7)</f>
      </c>
    </row>
    <row r="8" spans="2:41" x14ac:dyDescent="0.25">
      <c r="B8" s="88" t="s">
        <v>402</v>
      </c>
      <c r="C8" s="51">
        <f>C69+C77+C85+C93+C101</f>
      </c>
      <c r="D8" s="51">
        <f>D69+D77+D85+D93+D101</f>
      </c>
      <c r="E8" s="51">
        <f>E69+E77+E85+E93+E101</f>
      </c>
      <c r="F8" s="51">
        <f>F69+F77+F85+F93+F101</f>
      </c>
      <c r="G8" s="51">
        <f>G69+G77+G85+G93+G101</f>
      </c>
      <c r="H8" s="51">
        <f>H69+H77+H85+H93+H101</f>
      </c>
      <c r="I8" s="51">
        <f>I69+I77+I85+I93+I101</f>
      </c>
      <c r="J8" s="51">
        <f>J69+J77+J85+J93+J101</f>
      </c>
      <c r="K8" s="51">
        <f>K69+K77+K85+K93+K101</f>
      </c>
      <c r="L8" s="51">
        <f>L69+L77+L85+L93+L101</f>
      </c>
      <c r="M8" s="51">
        <f>M69+M77+M85+M93+M101</f>
      </c>
      <c r="N8" s="51">
        <f>N69+N77+N85+N93+N101</f>
      </c>
      <c r="O8" s="51">
        <f>SUM(C8:N8)</f>
      </c>
      <c r="P8" s="51">
        <f>P69+P77+P85+P93+P101</f>
      </c>
      <c r="Q8" s="51">
        <f>Q69+Q77+Q85+Q93+Q101</f>
      </c>
      <c r="R8" s="51">
        <f>R69+R77+R85+R93+R101</f>
      </c>
      <c r="S8" s="51">
        <f>S69+S77+S85+S93+S101</f>
      </c>
      <c r="T8" s="51">
        <f>T69+T77+T85+T93+T101</f>
      </c>
      <c r="U8" s="51">
        <f>U69+U77+U85+U93+U101</f>
      </c>
      <c r="V8" s="51">
        <f>V69+V77+V85+V93+V101</f>
      </c>
      <c r="W8" s="51">
        <f>W69+W77+W85+W93+W101</f>
      </c>
      <c r="X8" s="51">
        <f>X69+X77+X85+X93+X101</f>
      </c>
      <c r="Y8" s="51">
        <f>Y69+Y77+Y85+Y93+Y101</f>
      </c>
      <c r="Z8" s="51">
        <f>Z69+Z77+Z85+Z93+Z101</f>
      </c>
      <c r="AA8" s="51">
        <f>AA69+AA77+AA85+AA93+AA101</f>
      </c>
      <c r="AB8" s="51">
        <f>SUM(P8:AA8)</f>
      </c>
      <c r="AC8" s="51">
        <f>AC69+AC77+AC85+AC93+AC101</f>
      </c>
      <c r="AD8" s="51">
        <f>AD69+AD77+AD85+AD93+AD101</f>
      </c>
      <c r="AE8" s="51">
        <f>AE69+AE77+AE85+AE93+AE101</f>
      </c>
      <c r="AF8" s="51">
        <f>AF69+AF77+AF85+AF93+AF101</f>
      </c>
      <c r="AG8" s="51">
        <f>AG69+AG77+AG85+AG93+AG101</f>
      </c>
      <c r="AH8" s="51">
        <f>AH69+AH77+AH85+AH93+AH101</f>
      </c>
      <c r="AI8" s="51">
        <f>AI69+AI77+AI85+AI93+AI101</f>
      </c>
      <c r="AJ8" s="51">
        <f>AJ69+AJ77+AJ85+AJ93+AJ101</f>
      </c>
      <c r="AK8" s="51">
        <f>AK69+AK77+AK85+AK93+AK101</f>
      </c>
      <c r="AL8" s="51">
        <f>AL69+AL77+AL85+AL93+AL101</f>
      </c>
      <c r="AM8" s="51">
        <f>AM69+AM77+AM85+AM93+AM101</f>
      </c>
      <c r="AN8" s="51">
        <f>AN69+AN77+AN85+AN93+AN101</f>
      </c>
      <c r="AO8" s="59">
        <f>SUM(AC8:AN8)</f>
      </c>
    </row>
    <row r="9" spans="2:41" x14ac:dyDescent="0.25">
      <c r="B9" s="89" t="s">
        <v>403</v>
      </c>
      <c r="C9" s="90">
        <f>C18+C25+C32+C39+C46+C53+C60+C70+C78+C86+C94+C102</f>
      </c>
      <c r="D9" s="90">
        <f>D18+D25+D32+D39+D46+D53+D60+D70+D78+D86+D94+D102</f>
      </c>
      <c r="E9" s="90">
        <f>E18+E25+E32+E39+E46+E53+E60+E70+E78+E86+E94+E102</f>
      </c>
      <c r="F9" s="90">
        <f>F18+F25+F32+F39+F46+F53+F60+F70+F78+F86+F94+F102</f>
      </c>
      <c r="G9" s="90">
        <f>G18+G25+G32+G39+G46+G53+G60+G70+G78+G86+G94+G102</f>
      </c>
      <c r="H9" s="90">
        <f>H18+H25+H32+H39+H46+H53+H60+H70+H78+H86+H94+H102</f>
      </c>
      <c r="I9" s="90">
        <f>I18+I25+I32+I39+I46+I53+I60+I70+I78+I86+I94+I102</f>
      </c>
      <c r="J9" s="90">
        <f>J18+J25+J32+J39+J46+J53+J60+J70+J78+J86+J94+J102</f>
      </c>
      <c r="K9" s="90">
        <f>K18+K25+K32+K39+K46+K53+K60+K70+K78+K86+K94+K102</f>
      </c>
      <c r="L9" s="90">
        <f>L18+L25+L32+L39+L46+L53+L60+L70+L78+L86+L94+L102</f>
      </c>
      <c r="M9" s="90">
        <f>M18+M25+M32+M39+M46+M53+M60+M70+M78+M86+M94+M102</f>
      </c>
      <c r="N9" s="90">
        <f>N18+N25+N32+N39+N46+N53+N60+N70+N78+N86+N94+N102</f>
      </c>
      <c r="O9" s="90">
        <f>N9</f>
      </c>
      <c r="P9" s="90">
        <f>P18+P25+P32+P39+P46+P53+P60+P70+P78+P86+P94+P102</f>
      </c>
      <c r="Q9" s="90">
        <f>Q18+Q25+Q32+Q39+Q46+Q53+Q60+Q70+Q78+Q86+Q94+Q102</f>
      </c>
      <c r="R9" s="90">
        <f>R18+R25+R32+R39+R46+R53+R60+R70+R78+R86+R94+R102</f>
      </c>
      <c r="S9" s="90">
        <f>S18+S25+S32+S39+S46+S53+S60+S70+S78+S86+S94+S102</f>
      </c>
      <c r="T9" s="90">
        <f>T18+T25+T32+T39+T46+T53+T60+T70+T78+T86+T94+T102</f>
      </c>
      <c r="U9" s="90">
        <f>U18+U25+U32+U39+U46+U53+U60+U70+U78+U86+U94+U102</f>
      </c>
      <c r="V9" s="90">
        <f>V18+V25+V32+V39+V46+V53+V60+V70+V78+V86+V94+V102</f>
      </c>
      <c r="W9" s="90">
        <f>W18+W25+W32+W39+W46+W53+W60+W70+W78+W86+W94+W102</f>
      </c>
      <c r="X9" s="90">
        <f>X18+X25+X32+X39+X46+X53+X60+X70+X78+X86+X94+X102</f>
      </c>
      <c r="Y9" s="90">
        <f>Y18+Y25+Y32+Y39+Y46+Y53+Y60+Y70+Y78+Y86+Y94+Y102</f>
      </c>
      <c r="Z9" s="90">
        <f>Z18+Z25+Z32+Z39+Z46+Z53+Z60+Z70+Z78+Z86+Z94+Z102</f>
      </c>
      <c r="AA9" s="90">
        <f>AA18+AA25+AA32+AA39+AA46+AA53+AA60+AA70+AA78+AA86+AA94+AA102</f>
      </c>
      <c r="AB9" s="90">
        <f>AA9</f>
      </c>
      <c r="AC9" s="90">
        <f>AC18+AC25+AC32+AC39+AC46+AC53+AC60+AC70+AC78+AC86+AC94+AC102</f>
      </c>
      <c r="AD9" s="90">
        <f>AD18+AD25+AD32+AD39+AD46+AD53+AD60+AD70+AD78+AD86+AD94+AD102</f>
      </c>
      <c r="AE9" s="90">
        <f>AE18+AE25+AE32+AE39+AE46+AE53+AE60+AE70+AE78+AE86+AE94+AE102</f>
      </c>
      <c r="AF9" s="90">
        <f>AF18+AF25+AF32+AF39+AF46+AF53+AF60+AF70+AF78+AF86+AF94+AF102</f>
      </c>
      <c r="AG9" s="90">
        <f>AG18+AG25+AG32+AG39+AG46+AG53+AG60+AG70+AG78+AG86+AG94+AG102</f>
      </c>
      <c r="AH9" s="90">
        <f>AH18+AH25+AH32+AH39+AH46+AH53+AH60+AH70+AH78+AH86+AH94+AH102</f>
      </c>
      <c r="AI9" s="90">
        <f>AI18+AI25+AI32+AI39+AI46+AI53+AI60+AI70+AI78+AI86+AI94+AI102</f>
      </c>
      <c r="AJ9" s="90">
        <f>AJ18+AJ25+AJ32+AJ39+AJ46+AJ53+AJ60+AJ70+AJ78+AJ86+AJ94+AJ102</f>
      </c>
      <c r="AK9" s="90">
        <f>AK18+AK25+AK32+AK39+AK46+AK53+AK60+AK70+AK78+AK86+AK94+AK102</f>
      </c>
      <c r="AL9" s="90">
        <f>AL18+AL25+AL32+AL39+AL46+AL53+AL60+AL70+AL78+AL86+AL94+AL102</f>
      </c>
      <c r="AM9" s="90">
        <f>AM18+AM25+AM32+AM39+AM46+AM53+AM60+AM70+AM78+AM86+AM94+AM102</f>
      </c>
      <c r="AN9" s="90">
        <f>AN18+AN25+AN32+AN39+AN46+AN53+AN60+AN70+AN78+AN86+AN94+AN102</f>
      </c>
      <c r="AO9" s="91">
        <f>AN9</f>
      </c>
    </row>
    <row r="12" ht="20" customHeight="1" spans="2:41" x14ac:dyDescent="0.25">
      <c r="B12" s="92" t="s">
        <v>404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</row>
    <row r="13" ht="18" customHeight="1" spans="2:41" x14ac:dyDescent="0.25">
      <c r="B13" s="94" t="s">
        <v>188</v>
      </c>
      <c r="C13" s="95" t="s">
        <v>220</v>
      </c>
      <c r="D13" s="95" t="s">
        <v>221</v>
      </c>
      <c r="E13" s="95" t="s">
        <v>222</v>
      </c>
      <c r="F13" s="95" t="s">
        <v>223</v>
      </c>
      <c r="G13" s="95" t="s">
        <v>224</v>
      </c>
      <c r="H13" s="95" t="s">
        <v>225</v>
      </c>
      <c r="I13" s="95" t="s">
        <v>226</v>
      </c>
      <c r="J13" s="95" t="s">
        <v>227</v>
      </c>
      <c r="K13" s="95" t="s">
        <v>228</v>
      </c>
      <c r="L13" s="95" t="s">
        <v>229</v>
      </c>
      <c r="M13" s="95" t="s">
        <v>230</v>
      </c>
      <c r="N13" s="95" t="s">
        <v>231</v>
      </c>
      <c r="O13" s="96" t="s">
        <v>232</v>
      </c>
      <c r="P13" s="95" t="s">
        <v>233</v>
      </c>
      <c r="Q13" s="95" t="s">
        <v>234</v>
      </c>
      <c r="R13" s="95" t="s">
        <v>235</v>
      </c>
      <c r="S13" s="95" t="s">
        <v>236</v>
      </c>
      <c r="T13" s="95" t="s">
        <v>237</v>
      </c>
      <c r="U13" s="95" t="s">
        <v>238</v>
      </c>
      <c r="V13" s="95" t="s">
        <v>239</v>
      </c>
      <c r="W13" s="95" t="s">
        <v>240</v>
      </c>
      <c r="X13" s="95" t="s">
        <v>241</v>
      </c>
      <c r="Y13" s="95" t="s">
        <v>242</v>
      </c>
      <c r="Z13" s="95" t="s">
        <v>243</v>
      </c>
      <c r="AA13" s="95" t="s">
        <v>244</v>
      </c>
      <c r="AB13" s="96" t="s">
        <v>245</v>
      </c>
      <c r="AC13" s="95" t="s">
        <v>246</v>
      </c>
      <c r="AD13" s="95" t="s">
        <v>247</v>
      </c>
      <c r="AE13" s="95" t="s">
        <v>248</v>
      </c>
      <c r="AF13" s="95" t="s">
        <v>249</v>
      </c>
      <c r="AG13" s="95" t="s">
        <v>250</v>
      </c>
      <c r="AH13" s="95" t="s">
        <v>251</v>
      </c>
      <c r="AI13" s="95" t="s">
        <v>252</v>
      </c>
      <c r="AJ13" s="95" t="s">
        <v>253</v>
      </c>
      <c r="AK13" s="95" t="s">
        <v>254</v>
      </c>
      <c r="AL13" s="95" t="s">
        <v>255</v>
      </c>
      <c r="AM13" s="95" t="s">
        <v>256</v>
      </c>
      <c r="AN13" s="95" t="s">
        <v>257</v>
      </c>
      <c r="AO13" s="97" t="s">
        <v>258</v>
      </c>
    </row>
    <row r="14" ht="14" customHeight="1" spans="2:41" x14ac:dyDescent="0.25">
      <c r="B14" s="98" t="s">
        <v>405</v>
      </c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100"/>
    </row>
    <row r="15" spans="2:41" x14ac:dyDescent="0.25">
      <c r="B15" s="101" t="s">
        <v>406</v>
      </c>
      <c r="C15" s="102">
        <f>'Annahmen'!$C$144</f>
      </c>
      <c r="D15" s="103">
        <f>C18</f>
      </c>
      <c r="E15" s="103">
        <f>D18</f>
      </c>
      <c r="F15" s="103">
        <f>E18</f>
      </c>
      <c r="G15" s="103">
        <f>F18</f>
      </c>
      <c r="H15" s="103">
        <f>G18</f>
      </c>
      <c r="I15" s="103">
        <f>H18</f>
      </c>
      <c r="J15" s="103">
        <f>I18</f>
      </c>
      <c r="K15" s="103">
        <f>J18</f>
      </c>
      <c r="L15" s="103">
        <f>K18</f>
      </c>
      <c r="M15" s="103">
        <f>L18</f>
      </c>
      <c r="N15" s="103">
        <f>M18</f>
      </c>
      <c r="O15" s="103">
        <f>C15</f>
      </c>
      <c r="P15" s="103">
        <f>N18</f>
      </c>
      <c r="Q15" s="103">
        <f>P18</f>
      </c>
      <c r="R15" s="103">
        <f>Q18</f>
      </c>
      <c r="S15" s="103">
        <f>R18</f>
      </c>
      <c r="T15" s="103">
        <f>S18</f>
      </c>
      <c r="U15" s="103">
        <f>T18</f>
      </c>
      <c r="V15" s="103">
        <f>U18</f>
      </c>
      <c r="W15" s="103">
        <f>V18</f>
      </c>
      <c r="X15" s="103">
        <f>W18</f>
      </c>
      <c r="Y15" s="103">
        <f>X18</f>
      </c>
      <c r="Z15" s="103">
        <f>Y18</f>
      </c>
      <c r="AA15" s="103">
        <f>Z18</f>
      </c>
      <c r="AB15" s="103">
        <f>P15</f>
      </c>
      <c r="AC15" s="103">
        <f>AA18</f>
      </c>
      <c r="AD15" s="103">
        <f>AC18</f>
      </c>
      <c r="AE15" s="103">
        <f>AD18</f>
      </c>
      <c r="AF15" s="103">
        <f>AE18</f>
      </c>
      <c r="AG15" s="103">
        <f>AF18</f>
      </c>
      <c r="AH15" s="103">
        <f>AG18</f>
      </c>
      <c r="AI15" s="103">
        <f>AH18</f>
      </c>
      <c r="AJ15" s="103">
        <f>AI18</f>
      </c>
      <c r="AK15" s="103">
        <f>AJ18</f>
      </c>
      <c r="AL15" s="103">
        <f>AK18</f>
      </c>
      <c r="AM15" s="103">
        <f>AL18</f>
      </c>
      <c r="AN15" s="103">
        <f>AM18</f>
      </c>
      <c r="AO15" s="104">
        <f>AC15</f>
      </c>
    </row>
    <row r="16" spans="2:41" x14ac:dyDescent="0.25">
      <c r="B16" s="88" t="s">
        <v>407</v>
      </c>
      <c r="C16" s="105">
        <f>C114</f>
      </c>
      <c r="D16" s="105">
        <f>C115</f>
      </c>
      <c r="E16" s="105">
        <f>C116</f>
      </c>
      <c r="F16" s="105">
        <f>C117</f>
      </c>
      <c r="G16" s="105">
        <f>C118</f>
      </c>
      <c r="H16" s="105">
        <f>C119</f>
      </c>
      <c r="I16" s="105">
        <f>C120</f>
      </c>
      <c r="J16" s="105">
        <f>C121</f>
      </c>
      <c r="K16" s="105">
        <f>C122</f>
      </c>
      <c r="L16" s="105">
        <f>C123</f>
      </c>
      <c r="M16" s="105">
        <f>C124</f>
      </c>
      <c r="N16" s="105">
        <f>C125</f>
      </c>
      <c r="O16" s="51">
        <f>SUM(C16:N16)</f>
      </c>
      <c r="P16" s="105">
        <f>C127</f>
      </c>
      <c r="Q16" s="105">
        <f>C128</f>
      </c>
      <c r="R16" s="105">
        <f>C129</f>
      </c>
      <c r="S16" s="105">
        <f>C130</f>
      </c>
      <c r="T16" s="105">
        <f>C131</f>
      </c>
      <c r="U16" s="105">
        <f>C132</f>
      </c>
      <c r="V16" s="105">
        <f>C133</f>
      </c>
      <c r="W16" s="105">
        <f>C134</f>
      </c>
      <c r="X16" s="105">
        <f>C135</f>
      </c>
      <c r="Y16" s="105">
        <f>C136</f>
      </c>
      <c r="Z16" s="105">
        <f>C137</f>
      </c>
      <c r="AA16" s="105">
        <f>C138</f>
      </c>
      <c r="AB16" s="51">
        <f>SUM(P16:AA16)</f>
      </c>
      <c r="AC16" s="105">
        <f>C140</f>
      </c>
      <c r="AD16" s="105">
        <f>C141</f>
      </c>
      <c r="AE16" s="105">
        <f>C142</f>
      </c>
      <c r="AF16" s="105">
        <f>C143</f>
      </c>
      <c r="AG16" s="105">
        <f>C144</f>
      </c>
      <c r="AH16" s="105">
        <f>C145</f>
      </c>
      <c r="AI16" s="105">
        <f>C146</f>
      </c>
      <c r="AJ16" s="105">
        <f>C147</f>
      </c>
      <c r="AK16" s="105">
        <f>C148</f>
      </c>
      <c r="AL16" s="105">
        <f>C149</f>
      </c>
      <c r="AM16" s="105">
        <f>C150</f>
      </c>
      <c r="AN16" s="105">
        <f>C151</f>
      </c>
      <c r="AO16" s="59">
        <f>SUM(AC16:AN16)</f>
      </c>
    </row>
    <row r="17" spans="2:41" x14ac:dyDescent="0.25">
      <c r="B17" s="88" t="s">
        <v>408</v>
      </c>
      <c r="C17" s="105">
        <f>C157</f>
      </c>
      <c r="D17" s="105">
        <f>C158</f>
      </c>
      <c r="E17" s="105">
        <f>C159</f>
      </c>
      <c r="F17" s="105">
        <f>C160</f>
      </c>
      <c r="G17" s="105">
        <f>C161</f>
      </c>
      <c r="H17" s="105">
        <f>C162</f>
      </c>
      <c r="I17" s="105">
        <f>C163</f>
      </c>
      <c r="J17" s="105">
        <f>C164</f>
      </c>
      <c r="K17" s="105">
        <f>C165</f>
      </c>
      <c r="L17" s="105">
        <f>C166</f>
      </c>
      <c r="M17" s="105">
        <f>C167</f>
      </c>
      <c r="N17" s="105">
        <f>C168</f>
      </c>
      <c r="O17" s="51">
        <f>SUM(C17:N17)</f>
      </c>
      <c r="P17" s="105">
        <f>C170</f>
      </c>
      <c r="Q17" s="105">
        <f>C171</f>
      </c>
      <c r="R17" s="105">
        <f>C172</f>
      </c>
      <c r="S17" s="105">
        <f>C173</f>
      </c>
      <c r="T17" s="105">
        <f>C174</f>
      </c>
      <c r="U17" s="105">
        <f>C175</f>
      </c>
      <c r="V17" s="105">
        <f>C176</f>
      </c>
      <c r="W17" s="105">
        <f>C177</f>
      </c>
      <c r="X17" s="105">
        <f>C178</f>
      </c>
      <c r="Y17" s="105">
        <f>C179</f>
      </c>
      <c r="Z17" s="105">
        <f>C180</f>
      </c>
      <c r="AA17" s="105">
        <f>C181</f>
      </c>
      <c r="AB17" s="51">
        <f>SUM(P17:AA17)</f>
      </c>
      <c r="AC17" s="105">
        <f>C183</f>
      </c>
      <c r="AD17" s="105">
        <f>C184</f>
      </c>
      <c r="AE17" s="105">
        <f>C185</f>
      </c>
      <c r="AF17" s="105">
        <f>C186</f>
      </c>
      <c r="AG17" s="105">
        <f>C187</f>
      </c>
      <c r="AH17" s="105">
        <f>C188</f>
      </c>
      <c r="AI17" s="105">
        <f>C189</f>
      </c>
      <c r="AJ17" s="105">
        <f>C190</f>
      </c>
      <c r="AK17" s="105">
        <f>C191</f>
      </c>
      <c r="AL17" s="105">
        <f>C192</f>
      </c>
      <c r="AM17" s="105">
        <f>C193</f>
      </c>
      <c r="AN17" s="105">
        <f>C194</f>
      </c>
      <c r="AO17" s="59">
        <f>SUM(AC17:AN17)</f>
      </c>
    </row>
    <row r="18" spans="2:41" x14ac:dyDescent="0.25">
      <c r="B18" s="89" t="s">
        <v>409</v>
      </c>
      <c r="C18" s="106">
        <f>C286</f>
      </c>
      <c r="D18" s="106">
        <f>C287</f>
      </c>
      <c r="E18" s="106">
        <f>C288</f>
      </c>
      <c r="F18" s="106">
        <f>C289</f>
      </c>
      <c r="G18" s="106">
        <f>C290</f>
      </c>
      <c r="H18" s="106">
        <f>C291</f>
      </c>
      <c r="I18" s="106">
        <f>C292</f>
      </c>
      <c r="J18" s="106">
        <f>C293</f>
      </c>
      <c r="K18" s="106">
        <f>C294</f>
      </c>
      <c r="L18" s="106">
        <f>C295</f>
      </c>
      <c r="M18" s="106">
        <f>C296</f>
      </c>
      <c r="N18" s="106">
        <f>C297</f>
      </c>
      <c r="O18" s="90">
        <f>N18</f>
      </c>
      <c r="P18" s="106">
        <f>C299</f>
      </c>
      <c r="Q18" s="106">
        <f>C300</f>
      </c>
      <c r="R18" s="106">
        <f>C301</f>
      </c>
      <c r="S18" s="106">
        <f>C302</f>
      </c>
      <c r="T18" s="106">
        <f>C303</f>
      </c>
      <c r="U18" s="106">
        <f>C304</f>
      </c>
      <c r="V18" s="106">
        <f>C305</f>
      </c>
      <c r="W18" s="106">
        <f>C306</f>
      </c>
      <c r="X18" s="106">
        <f>C307</f>
      </c>
      <c r="Y18" s="106">
        <f>C308</f>
      </c>
      <c r="Z18" s="106">
        <f>C309</f>
      </c>
      <c r="AA18" s="106">
        <f>C310</f>
      </c>
      <c r="AB18" s="90">
        <f>AA18</f>
      </c>
      <c r="AC18" s="106">
        <f>C312</f>
      </c>
      <c r="AD18" s="106">
        <f>C313</f>
      </c>
      <c r="AE18" s="106">
        <f>C314</f>
      </c>
      <c r="AF18" s="106">
        <f>C315</f>
      </c>
      <c r="AG18" s="106">
        <f>C316</f>
      </c>
      <c r="AH18" s="106">
        <f>C317</f>
      </c>
      <c r="AI18" s="106">
        <f>C318</f>
      </c>
      <c r="AJ18" s="106">
        <f>C319</f>
      </c>
      <c r="AK18" s="106">
        <f>C320</f>
      </c>
      <c r="AL18" s="106">
        <f>C321</f>
      </c>
      <c r="AM18" s="106">
        <f>C322</f>
      </c>
      <c r="AN18" s="106">
        <f>C323</f>
      </c>
      <c r="AO18" s="91">
        <f>AN18</f>
      </c>
    </row>
    <row r="20" ht="18" customHeight="1" spans="2:41" x14ac:dyDescent="0.25">
      <c r="B20" s="94" t="s">
        <v>189</v>
      </c>
      <c r="C20" s="95" t="s">
        <v>220</v>
      </c>
      <c r="D20" s="95" t="s">
        <v>221</v>
      </c>
      <c r="E20" s="95" t="s">
        <v>222</v>
      </c>
      <c r="F20" s="95" t="s">
        <v>223</v>
      </c>
      <c r="G20" s="95" t="s">
        <v>224</v>
      </c>
      <c r="H20" s="95" t="s">
        <v>225</v>
      </c>
      <c r="I20" s="95" t="s">
        <v>226</v>
      </c>
      <c r="J20" s="95" t="s">
        <v>227</v>
      </c>
      <c r="K20" s="95" t="s">
        <v>228</v>
      </c>
      <c r="L20" s="95" t="s">
        <v>229</v>
      </c>
      <c r="M20" s="95" t="s">
        <v>230</v>
      </c>
      <c r="N20" s="95" t="s">
        <v>231</v>
      </c>
      <c r="O20" s="96" t="s">
        <v>232</v>
      </c>
      <c r="P20" s="95" t="s">
        <v>233</v>
      </c>
      <c r="Q20" s="95" t="s">
        <v>234</v>
      </c>
      <c r="R20" s="95" t="s">
        <v>235</v>
      </c>
      <c r="S20" s="95" t="s">
        <v>236</v>
      </c>
      <c r="T20" s="95" t="s">
        <v>237</v>
      </c>
      <c r="U20" s="95" t="s">
        <v>238</v>
      </c>
      <c r="V20" s="95" t="s">
        <v>239</v>
      </c>
      <c r="W20" s="95" t="s">
        <v>240</v>
      </c>
      <c r="X20" s="95" t="s">
        <v>241</v>
      </c>
      <c r="Y20" s="95" t="s">
        <v>242</v>
      </c>
      <c r="Z20" s="95" t="s">
        <v>243</v>
      </c>
      <c r="AA20" s="95" t="s">
        <v>244</v>
      </c>
      <c r="AB20" s="96" t="s">
        <v>245</v>
      </c>
      <c r="AC20" s="95" t="s">
        <v>246</v>
      </c>
      <c r="AD20" s="95" t="s">
        <v>247</v>
      </c>
      <c r="AE20" s="95" t="s">
        <v>248</v>
      </c>
      <c r="AF20" s="95" t="s">
        <v>249</v>
      </c>
      <c r="AG20" s="95" t="s">
        <v>250</v>
      </c>
      <c r="AH20" s="95" t="s">
        <v>251</v>
      </c>
      <c r="AI20" s="95" t="s">
        <v>252</v>
      </c>
      <c r="AJ20" s="95" t="s">
        <v>253</v>
      </c>
      <c r="AK20" s="95" t="s">
        <v>254</v>
      </c>
      <c r="AL20" s="95" t="s">
        <v>255</v>
      </c>
      <c r="AM20" s="95" t="s">
        <v>256</v>
      </c>
      <c r="AN20" s="95" t="s">
        <v>257</v>
      </c>
      <c r="AO20" s="97" t="s">
        <v>258</v>
      </c>
    </row>
    <row r="21" ht="14" customHeight="1" spans="2:41" x14ac:dyDescent="0.25">
      <c r="B21" s="98" t="s">
        <v>410</v>
      </c>
      <c r="C21" s="99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100"/>
    </row>
    <row r="22" spans="2:41" x14ac:dyDescent="0.25">
      <c r="B22" s="101" t="s">
        <v>406</v>
      </c>
      <c r="C22" s="102">
        <f>'Annahmen'!$C$145</f>
      </c>
      <c r="D22" s="103">
        <f>C25</f>
      </c>
      <c r="E22" s="103">
        <f>D25</f>
      </c>
      <c r="F22" s="103">
        <f>E25</f>
      </c>
      <c r="G22" s="103">
        <f>F25</f>
      </c>
      <c r="H22" s="103">
        <f>G25</f>
      </c>
      <c r="I22" s="103">
        <f>H25</f>
      </c>
      <c r="J22" s="103">
        <f>I25</f>
      </c>
      <c r="K22" s="103">
        <f>J25</f>
      </c>
      <c r="L22" s="103">
        <f>K25</f>
      </c>
      <c r="M22" s="103">
        <f>L25</f>
      </c>
      <c r="N22" s="103">
        <f>M25</f>
      </c>
      <c r="O22" s="103">
        <f>C22</f>
      </c>
      <c r="P22" s="103">
        <f>N25</f>
      </c>
      <c r="Q22" s="103">
        <f>P25</f>
      </c>
      <c r="R22" s="103">
        <f>Q25</f>
      </c>
      <c r="S22" s="103">
        <f>R25</f>
      </c>
      <c r="T22" s="103">
        <f>S25</f>
      </c>
      <c r="U22" s="103">
        <f>T25</f>
      </c>
      <c r="V22" s="103">
        <f>U25</f>
      </c>
      <c r="W22" s="103">
        <f>V25</f>
      </c>
      <c r="X22" s="103">
        <f>W25</f>
      </c>
      <c r="Y22" s="103">
        <f>X25</f>
      </c>
      <c r="Z22" s="103">
        <f>Y25</f>
      </c>
      <c r="AA22" s="103">
        <f>Z25</f>
      </c>
      <c r="AB22" s="103">
        <f>P22</f>
      </c>
      <c r="AC22" s="103">
        <f>AA25</f>
      </c>
      <c r="AD22" s="103">
        <f>AC25</f>
      </c>
      <c r="AE22" s="103">
        <f>AD25</f>
      </c>
      <c r="AF22" s="103">
        <f>AE25</f>
      </c>
      <c r="AG22" s="103">
        <f>AF25</f>
      </c>
      <c r="AH22" s="103">
        <f>AG25</f>
      </c>
      <c r="AI22" s="103">
        <f>AH25</f>
      </c>
      <c r="AJ22" s="103">
        <f>AI25</f>
      </c>
      <c r="AK22" s="103">
        <f>AJ25</f>
      </c>
      <c r="AL22" s="103">
        <f>AK25</f>
      </c>
      <c r="AM22" s="103">
        <f>AL25</f>
      </c>
      <c r="AN22" s="103">
        <f>AM25</f>
      </c>
      <c r="AO22" s="104">
        <f>AC22</f>
      </c>
    </row>
    <row r="23" spans="2:41" x14ac:dyDescent="0.25">
      <c r="B23" s="88" t="s">
        <v>407</v>
      </c>
      <c r="C23" s="105">
        <f>D114</f>
      </c>
      <c r="D23" s="105">
        <f>D115</f>
      </c>
      <c r="E23" s="105">
        <f>D116</f>
      </c>
      <c r="F23" s="105">
        <f>D117</f>
      </c>
      <c r="G23" s="105">
        <f>D118</f>
      </c>
      <c r="H23" s="105">
        <f>D119</f>
      </c>
      <c r="I23" s="105">
        <f>D120</f>
      </c>
      <c r="J23" s="105">
        <f>D121</f>
      </c>
      <c r="K23" s="105">
        <f>D122</f>
      </c>
      <c r="L23" s="105">
        <f>D123</f>
      </c>
      <c r="M23" s="105">
        <f>D124</f>
      </c>
      <c r="N23" s="105">
        <f>D125</f>
      </c>
      <c r="O23" s="51">
        <f>SUM(C23:N23)</f>
      </c>
      <c r="P23" s="105">
        <f>D127</f>
      </c>
      <c r="Q23" s="105">
        <f>D128</f>
      </c>
      <c r="R23" s="105">
        <f>D129</f>
      </c>
      <c r="S23" s="105">
        <f>D130</f>
      </c>
      <c r="T23" s="105">
        <f>D131</f>
      </c>
      <c r="U23" s="105">
        <f>D132</f>
      </c>
      <c r="V23" s="105">
        <f>D133</f>
      </c>
      <c r="W23" s="105">
        <f>D134</f>
      </c>
      <c r="X23" s="105">
        <f>D135</f>
      </c>
      <c r="Y23" s="105">
        <f>D136</f>
      </c>
      <c r="Z23" s="105">
        <f>D137</f>
      </c>
      <c r="AA23" s="105">
        <f>D138</f>
      </c>
      <c r="AB23" s="51">
        <f>SUM(P23:AA23)</f>
      </c>
      <c r="AC23" s="105">
        <f>D140</f>
      </c>
      <c r="AD23" s="105">
        <f>D141</f>
      </c>
      <c r="AE23" s="105">
        <f>D142</f>
      </c>
      <c r="AF23" s="105">
        <f>D143</f>
      </c>
      <c r="AG23" s="105">
        <f>D144</f>
      </c>
      <c r="AH23" s="105">
        <f>D145</f>
      </c>
      <c r="AI23" s="105">
        <f>D146</f>
      </c>
      <c r="AJ23" s="105">
        <f>D147</f>
      </c>
      <c r="AK23" s="105">
        <f>D148</f>
      </c>
      <c r="AL23" s="105">
        <f>D149</f>
      </c>
      <c r="AM23" s="105">
        <f>D150</f>
      </c>
      <c r="AN23" s="105">
        <f>D151</f>
      </c>
      <c r="AO23" s="59">
        <f>SUM(AC23:AN23)</f>
      </c>
    </row>
    <row r="24" spans="2:41" x14ac:dyDescent="0.25">
      <c r="B24" s="88" t="s">
        <v>408</v>
      </c>
      <c r="C24" s="105">
        <f>D157</f>
      </c>
      <c r="D24" s="105">
        <f>D158</f>
      </c>
      <c r="E24" s="105">
        <f>D159</f>
      </c>
      <c r="F24" s="105">
        <f>D160</f>
      </c>
      <c r="G24" s="105">
        <f>D161</f>
      </c>
      <c r="H24" s="105">
        <f>D162</f>
      </c>
      <c r="I24" s="105">
        <f>D163</f>
      </c>
      <c r="J24" s="105">
        <f>D164</f>
      </c>
      <c r="K24" s="105">
        <f>D165</f>
      </c>
      <c r="L24" s="105">
        <f>D166</f>
      </c>
      <c r="M24" s="105">
        <f>D167</f>
      </c>
      <c r="N24" s="105">
        <f>D168</f>
      </c>
      <c r="O24" s="51">
        <f>SUM(C24:N24)</f>
      </c>
      <c r="P24" s="105">
        <f>D170</f>
      </c>
      <c r="Q24" s="105">
        <f>D171</f>
      </c>
      <c r="R24" s="105">
        <f>D172</f>
      </c>
      <c r="S24" s="105">
        <f>D173</f>
      </c>
      <c r="T24" s="105">
        <f>D174</f>
      </c>
      <c r="U24" s="105">
        <f>D175</f>
      </c>
      <c r="V24" s="105">
        <f>D176</f>
      </c>
      <c r="W24" s="105">
        <f>D177</f>
      </c>
      <c r="X24" s="105">
        <f>D178</f>
      </c>
      <c r="Y24" s="105">
        <f>D179</f>
      </c>
      <c r="Z24" s="105">
        <f>D180</f>
      </c>
      <c r="AA24" s="105">
        <f>D181</f>
      </c>
      <c r="AB24" s="51">
        <f>SUM(P24:AA24)</f>
      </c>
      <c r="AC24" s="105">
        <f>D183</f>
      </c>
      <c r="AD24" s="105">
        <f>D184</f>
      </c>
      <c r="AE24" s="105">
        <f>D185</f>
      </c>
      <c r="AF24" s="105">
        <f>D186</f>
      </c>
      <c r="AG24" s="105">
        <f>D187</f>
      </c>
      <c r="AH24" s="105">
        <f>D188</f>
      </c>
      <c r="AI24" s="105">
        <f>D189</f>
      </c>
      <c r="AJ24" s="105">
        <f>D190</f>
      </c>
      <c r="AK24" s="105">
        <f>D191</f>
      </c>
      <c r="AL24" s="105">
        <f>D192</f>
      </c>
      <c r="AM24" s="105">
        <f>D193</f>
      </c>
      <c r="AN24" s="105">
        <f>D194</f>
      </c>
      <c r="AO24" s="59">
        <f>SUM(AC24:AN24)</f>
      </c>
    </row>
    <row r="25" spans="2:41" x14ac:dyDescent="0.25">
      <c r="B25" s="89" t="s">
        <v>409</v>
      </c>
      <c r="C25" s="106">
        <f>D286</f>
      </c>
      <c r="D25" s="106">
        <f>D287</f>
      </c>
      <c r="E25" s="106">
        <f>D288</f>
      </c>
      <c r="F25" s="106">
        <f>D289</f>
      </c>
      <c r="G25" s="106">
        <f>D290</f>
      </c>
      <c r="H25" s="106">
        <f>D291</f>
      </c>
      <c r="I25" s="106">
        <f>D292</f>
      </c>
      <c r="J25" s="106">
        <f>D293</f>
      </c>
      <c r="K25" s="106">
        <f>D294</f>
      </c>
      <c r="L25" s="106">
        <f>D295</f>
      </c>
      <c r="M25" s="106">
        <f>D296</f>
      </c>
      <c r="N25" s="106">
        <f>D297</f>
      </c>
      <c r="O25" s="90">
        <f>N25</f>
      </c>
      <c r="P25" s="106">
        <f>D299</f>
      </c>
      <c r="Q25" s="106">
        <f>D300</f>
      </c>
      <c r="R25" s="106">
        <f>D301</f>
      </c>
      <c r="S25" s="106">
        <f>D302</f>
      </c>
      <c r="T25" s="106">
        <f>D303</f>
      </c>
      <c r="U25" s="106">
        <f>D304</f>
      </c>
      <c r="V25" s="106">
        <f>D305</f>
      </c>
      <c r="W25" s="106">
        <f>D306</f>
      </c>
      <c r="X25" s="106">
        <f>D307</f>
      </c>
      <c r="Y25" s="106">
        <f>D308</f>
      </c>
      <c r="Z25" s="106">
        <f>D309</f>
      </c>
      <c r="AA25" s="106">
        <f>D310</f>
      </c>
      <c r="AB25" s="90">
        <f>AA25</f>
      </c>
      <c r="AC25" s="106">
        <f>D312</f>
      </c>
      <c r="AD25" s="106">
        <f>D313</f>
      </c>
      <c r="AE25" s="106">
        <f>D314</f>
      </c>
      <c r="AF25" s="106">
        <f>D315</f>
      </c>
      <c r="AG25" s="106">
        <f>D316</f>
      </c>
      <c r="AH25" s="106">
        <f>D317</f>
      </c>
      <c r="AI25" s="106">
        <f>D318</f>
      </c>
      <c r="AJ25" s="106">
        <f>D319</f>
      </c>
      <c r="AK25" s="106">
        <f>D320</f>
      </c>
      <c r="AL25" s="106">
        <f>D321</f>
      </c>
      <c r="AM25" s="106">
        <f>D322</f>
      </c>
      <c r="AN25" s="106">
        <f>D323</f>
      </c>
      <c r="AO25" s="91">
        <f>AN25</f>
      </c>
    </row>
    <row r="27" ht="18" customHeight="1" spans="2:41" x14ac:dyDescent="0.25">
      <c r="B27" s="94" t="s">
        <v>190</v>
      </c>
      <c r="C27" s="95" t="s">
        <v>220</v>
      </c>
      <c r="D27" s="95" t="s">
        <v>221</v>
      </c>
      <c r="E27" s="95" t="s">
        <v>222</v>
      </c>
      <c r="F27" s="95" t="s">
        <v>223</v>
      </c>
      <c r="G27" s="95" t="s">
        <v>224</v>
      </c>
      <c r="H27" s="95" t="s">
        <v>225</v>
      </c>
      <c r="I27" s="95" t="s">
        <v>226</v>
      </c>
      <c r="J27" s="95" t="s">
        <v>227</v>
      </c>
      <c r="K27" s="95" t="s">
        <v>228</v>
      </c>
      <c r="L27" s="95" t="s">
        <v>229</v>
      </c>
      <c r="M27" s="95" t="s">
        <v>230</v>
      </c>
      <c r="N27" s="95" t="s">
        <v>231</v>
      </c>
      <c r="O27" s="96" t="s">
        <v>232</v>
      </c>
      <c r="P27" s="95" t="s">
        <v>233</v>
      </c>
      <c r="Q27" s="95" t="s">
        <v>234</v>
      </c>
      <c r="R27" s="95" t="s">
        <v>235</v>
      </c>
      <c r="S27" s="95" t="s">
        <v>236</v>
      </c>
      <c r="T27" s="95" t="s">
        <v>237</v>
      </c>
      <c r="U27" s="95" t="s">
        <v>238</v>
      </c>
      <c r="V27" s="95" t="s">
        <v>239</v>
      </c>
      <c r="W27" s="95" t="s">
        <v>240</v>
      </c>
      <c r="X27" s="95" t="s">
        <v>241</v>
      </c>
      <c r="Y27" s="95" t="s">
        <v>242</v>
      </c>
      <c r="Z27" s="95" t="s">
        <v>243</v>
      </c>
      <c r="AA27" s="95" t="s">
        <v>244</v>
      </c>
      <c r="AB27" s="96" t="s">
        <v>245</v>
      </c>
      <c r="AC27" s="95" t="s">
        <v>246</v>
      </c>
      <c r="AD27" s="95" t="s">
        <v>247</v>
      </c>
      <c r="AE27" s="95" t="s">
        <v>248</v>
      </c>
      <c r="AF27" s="95" t="s">
        <v>249</v>
      </c>
      <c r="AG27" s="95" t="s">
        <v>250</v>
      </c>
      <c r="AH27" s="95" t="s">
        <v>251</v>
      </c>
      <c r="AI27" s="95" t="s">
        <v>252</v>
      </c>
      <c r="AJ27" s="95" t="s">
        <v>253</v>
      </c>
      <c r="AK27" s="95" t="s">
        <v>254</v>
      </c>
      <c r="AL27" s="95" t="s">
        <v>255</v>
      </c>
      <c r="AM27" s="95" t="s">
        <v>256</v>
      </c>
      <c r="AN27" s="95" t="s">
        <v>257</v>
      </c>
      <c r="AO27" s="97" t="s">
        <v>258</v>
      </c>
    </row>
    <row r="28" ht="14" customHeight="1" spans="2:41" x14ac:dyDescent="0.25">
      <c r="B28" s="98" t="s">
        <v>411</v>
      </c>
      <c r="C28" s="99"/>
      <c r="D28" s="99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100"/>
    </row>
    <row r="29" spans="2:41" x14ac:dyDescent="0.25">
      <c r="B29" s="101" t="s">
        <v>406</v>
      </c>
      <c r="C29" s="102">
        <f>'Annahmen'!$C$146</f>
      </c>
      <c r="D29" s="103">
        <f>C32</f>
      </c>
      <c r="E29" s="103">
        <f>D32</f>
      </c>
      <c r="F29" s="103">
        <f>E32</f>
      </c>
      <c r="G29" s="103">
        <f>F32</f>
      </c>
      <c r="H29" s="103">
        <f>G32</f>
      </c>
      <c r="I29" s="103">
        <f>H32</f>
      </c>
      <c r="J29" s="103">
        <f>I32</f>
      </c>
      <c r="K29" s="103">
        <f>J32</f>
      </c>
      <c r="L29" s="103">
        <f>K32</f>
      </c>
      <c r="M29" s="103">
        <f>L32</f>
      </c>
      <c r="N29" s="103">
        <f>M32</f>
      </c>
      <c r="O29" s="103">
        <f>C29</f>
      </c>
      <c r="P29" s="103">
        <f>N32</f>
      </c>
      <c r="Q29" s="103">
        <f>P32</f>
      </c>
      <c r="R29" s="103">
        <f>Q32</f>
      </c>
      <c r="S29" s="103">
        <f>R32</f>
      </c>
      <c r="T29" s="103">
        <f>S32</f>
      </c>
      <c r="U29" s="103">
        <f>T32</f>
      </c>
      <c r="V29" s="103">
        <f>U32</f>
      </c>
      <c r="W29" s="103">
        <f>V32</f>
      </c>
      <c r="X29" s="103">
        <f>W32</f>
      </c>
      <c r="Y29" s="103">
        <f>X32</f>
      </c>
      <c r="Z29" s="103">
        <f>Y32</f>
      </c>
      <c r="AA29" s="103">
        <f>Z32</f>
      </c>
      <c r="AB29" s="103">
        <f>P29</f>
      </c>
      <c r="AC29" s="103">
        <f>AA32</f>
      </c>
      <c r="AD29" s="103">
        <f>AC32</f>
      </c>
      <c r="AE29" s="103">
        <f>AD32</f>
      </c>
      <c r="AF29" s="103">
        <f>AE32</f>
      </c>
      <c r="AG29" s="103">
        <f>AF32</f>
      </c>
      <c r="AH29" s="103">
        <f>AG32</f>
      </c>
      <c r="AI29" s="103">
        <f>AH32</f>
      </c>
      <c r="AJ29" s="103">
        <f>AI32</f>
      </c>
      <c r="AK29" s="103">
        <f>AJ32</f>
      </c>
      <c r="AL29" s="103">
        <f>AK32</f>
      </c>
      <c r="AM29" s="103">
        <f>AL32</f>
      </c>
      <c r="AN29" s="103">
        <f>AM32</f>
      </c>
      <c r="AO29" s="104">
        <f>AC29</f>
      </c>
    </row>
    <row r="30" spans="2:41" x14ac:dyDescent="0.25">
      <c r="B30" s="88" t="s">
        <v>407</v>
      </c>
      <c r="C30" s="105">
        <f>E114</f>
      </c>
      <c r="D30" s="105">
        <f>E115</f>
      </c>
      <c r="E30" s="105">
        <f>E116</f>
      </c>
      <c r="F30" s="105">
        <f>E117</f>
      </c>
      <c r="G30" s="105">
        <f>E118</f>
      </c>
      <c r="H30" s="105">
        <f>E119</f>
      </c>
      <c r="I30" s="105">
        <f>E120</f>
      </c>
      <c r="J30" s="105">
        <f>E121</f>
      </c>
      <c r="K30" s="105">
        <f>E122</f>
      </c>
      <c r="L30" s="105">
        <f>E123</f>
      </c>
      <c r="M30" s="105">
        <f>E124</f>
      </c>
      <c r="N30" s="105">
        <f>E125</f>
      </c>
      <c r="O30" s="51">
        <f>SUM(C30:N30)</f>
      </c>
      <c r="P30" s="105">
        <f>E127</f>
      </c>
      <c r="Q30" s="105">
        <f>E128</f>
      </c>
      <c r="R30" s="105">
        <f>E129</f>
      </c>
      <c r="S30" s="105">
        <f>E130</f>
      </c>
      <c r="T30" s="105">
        <f>E131</f>
      </c>
      <c r="U30" s="105">
        <f>E132</f>
      </c>
      <c r="V30" s="105">
        <f>E133</f>
      </c>
      <c r="W30" s="105">
        <f>E134</f>
      </c>
      <c r="X30" s="105">
        <f>E135</f>
      </c>
      <c r="Y30" s="105">
        <f>E136</f>
      </c>
      <c r="Z30" s="105">
        <f>E137</f>
      </c>
      <c r="AA30" s="105">
        <f>E138</f>
      </c>
      <c r="AB30" s="51">
        <f>SUM(P30:AA30)</f>
      </c>
      <c r="AC30" s="105">
        <f>E140</f>
      </c>
      <c r="AD30" s="105">
        <f>E141</f>
      </c>
      <c r="AE30" s="105">
        <f>E142</f>
      </c>
      <c r="AF30" s="105">
        <f>E143</f>
      </c>
      <c r="AG30" s="105">
        <f>E144</f>
      </c>
      <c r="AH30" s="105">
        <f>E145</f>
      </c>
      <c r="AI30" s="105">
        <f>E146</f>
      </c>
      <c r="AJ30" s="105">
        <f>E147</f>
      </c>
      <c r="AK30" s="105">
        <f>E148</f>
      </c>
      <c r="AL30" s="105">
        <f>E149</f>
      </c>
      <c r="AM30" s="105">
        <f>E150</f>
      </c>
      <c r="AN30" s="105">
        <f>E151</f>
      </c>
      <c r="AO30" s="59">
        <f>SUM(AC30:AN30)</f>
      </c>
    </row>
    <row r="31" spans="2:41" x14ac:dyDescent="0.25">
      <c r="B31" s="88" t="s">
        <v>408</v>
      </c>
      <c r="C31" s="105">
        <f>E157</f>
      </c>
      <c r="D31" s="105">
        <f>E158</f>
      </c>
      <c r="E31" s="105">
        <f>E159</f>
      </c>
      <c r="F31" s="105">
        <f>E160</f>
      </c>
      <c r="G31" s="105">
        <f>E161</f>
      </c>
      <c r="H31" s="105">
        <f>E162</f>
      </c>
      <c r="I31" s="105">
        <f>E163</f>
      </c>
      <c r="J31" s="105">
        <f>E164</f>
      </c>
      <c r="K31" s="105">
        <f>E165</f>
      </c>
      <c r="L31" s="105">
        <f>E166</f>
      </c>
      <c r="M31" s="105">
        <f>E167</f>
      </c>
      <c r="N31" s="105">
        <f>E168</f>
      </c>
      <c r="O31" s="51">
        <f>SUM(C31:N31)</f>
      </c>
      <c r="P31" s="105">
        <f>E170</f>
      </c>
      <c r="Q31" s="105">
        <f>E171</f>
      </c>
      <c r="R31" s="105">
        <f>E172</f>
      </c>
      <c r="S31" s="105">
        <f>E173</f>
      </c>
      <c r="T31" s="105">
        <f>E174</f>
      </c>
      <c r="U31" s="105">
        <f>E175</f>
      </c>
      <c r="V31" s="105">
        <f>E176</f>
      </c>
      <c r="W31" s="105">
        <f>E177</f>
      </c>
      <c r="X31" s="105">
        <f>E178</f>
      </c>
      <c r="Y31" s="105">
        <f>E179</f>
      </c>
      <c r="Z31" s="105">
        <f>E180</f>
      </c>
      <c r="AA31" s="105">
        <f>E181</f>
      </c>
      <c r="AB31" s="51">
        <f>SUM(P31:AA31)</f>
      </c>
      <c r="AC31" s="105">
        <f>E183</f>
      </c>
      <c r="AD31" s="105">
        <f>E184</f>
      </c>
      <c r="AE31" s="105">
        <f>E185</f>
      </c>
      <c r="AF31" s="105">
        <f>E186</f>
      </c>
      <c r="AG31" s="105">
        <f>E187</f>
      </c>
      <c r="AH31" s="105">
        <f>E188</f>
      </c>
      <c r="AI31" s="105">
        <f>E189</f>
      </c>
      <c r="AJ31" s="105">
        <f>E190</f>
      </c>
      <c r="AK31" s="105">
        <f>E191</f>
      </c>
      <c r="AL31" s="105">
        <f>E192</f>
      </c>
      <c r="AM31" s="105">
        <f>E193</f>
      </c>
      <c r="AN31" s="105">
        <f>E194</f>
      </c>
      <c r="AO31" s="59">
        <f>SUM(AC31:AN31)</f>
      </c>
    </row>
    <row r="32" spans="2:41" x14ac:dyDescent="0.25">
      <c r="B32" s="89" t="s">
        <v>409</v>
      </c>
      <c r="C32" s="106">
        <f>E286</f>
      </c>
      <c r="D32" s="106">
        <f>E287</f>
      </c>
      <c r="E32" s="106">
        <f>E288</f>
      </c>
      <c r="F32" s="106">
        <f>E289</f>
      </c>
      <c r="G32" s="106">
        <f>E290</f>
      </c>
      <c r="H32" s="106">
        <f>E291</f>
      </c>
      <c r="I32" s="106">
        <f>E292</f>
      </c>
      <c r="J32" s="106">
        <f>E293</f>
      </c>
      <c r="K32" s="106">
        <f>E294</f>
      </c>
      <c r="L32" s="106">
        <f>E295</f>
      </c>
      <c r="M32" s="106">
        <f>E296</f>
      </c>
      <c r="N32" s="106">
        <f>E297</f>
      </c>
      <c r="O32" s="90">
        <f>N32</f>
      </c>
      <c r="P32" s="106">
        <f>E299</f>
      </c>
      <c r="Q32" s="106">
        <f>E300</f>
      </c>
      <c r="R32" s="106">
        <f>E301</f>
      </c>
      <c r="S32" s="106">
        <f>E302</f>
      </c>
      <c r="T32" s="106">
        <f>E303</f>
      </c>
      <c r="U32" s="106">
        <f>E304</f>
      </c>
      <c r="V32" s="106">
        <f>E305</f>
      </c>
      <c r="W32" s="106">
        <f>E306</f>
      </c>
      <c r="X32" s="106">
        <f>E307</f>
      </c>
      <c r="Y32" s="106">
        <f>E308</f>
      </c>
      <c r="Z32" s="106">
        <f>E309</f>
      </c>
      <c r="AA32" s="106">
        <f>E310</f>
      </c>
      <c r="AB32" s="90">
        <f>AA32</f>
      </c>
      <c r="AC32" s="106">
        <f>E312</f>
      </c>
      <c r="AD32" s="106">
        <f>E313</f>
      </c>
      <c r="AE32" s="106">
        <f>E314</f>
      </c>
      <c r="AF32" s="106">
        <f>E315</f>
      </c>
      <c r="AG32" s="106">
        <f>E316</f>
      </c>
      <c r="AH32" s="106">
        <f>E317</f>
      </c>
      <c r="AI32" s="106">
        <f>E318</f>
      </c>
      <c r="AJ32" s="106">
        <f>E319</f>
      </c>
      <c r="AK32" s="106">
        <f>E320</f>
      </c>
      <c r="AL32" s="106">
        <f>E321</f>
      </c>
      <c r="AM32" s="106">
        <f>E322</f>
      </c>
      <c r="AN32" s="106">
        <f>E323</f>
      </c>
      <c r="AO32" s="91">
        <f>AN32</f>
      </c>
    </row>
    <row r="34" ht="18" customHeight="1" spans="2:41" x14ac:dyDescent="0.25">
      <c r="B34" s="94" t="s">
        <v>191</v>
      </c>
      <c r="C34" s="95" t="s">
        <v>220</v>
      </c>
      <c r="D34" s="95" t="s">
        <v>221</v>
      </c>
      <c r="E34" s="95" t="s">
        <v>222</v>
      </c>
      <c r="F34" s="95" t="s">
        <v>223</v>
      </c>
      <c r="G34" s="95" t="s">
        <v>224</v>
      </c>
      <c r="H34" s="95" t="s">
        <v>225</v>
      </c>
      <c r="I34" s="95" t="s">
        <v>226</v>
      </c>
      <c r="J34" s="95" t="s">
        <v>227</v>
      </c>
      <c r="K34" s="95" t="s">
        <v>228</v>
      </c>
      <c r="L34" s="95" t="s">
        <v>229</v>
      </c>
      <c r="M34" s="95" t="s">
        <v>230</v>
      </c>
      <c r="N34" s="95" t="s">
        <v>231</v>
      </c>
      <c r="O34" s="96" t="s">
        <v>232</v>
      </c>
      <c r="P34" s="95" t="s">
        <v>233</v>
      </c>
      <c r="Q34" s="95" t="s">
        <v>234</v>
      </c>
      <c r="R34" s="95" t="s">
        <v>235</v>
      </c>
      <c r="S34" s="95" t="s">
        <v>236</v>
      </c>
      <c r="T34" s="95" t="s">
        <v>237</v>
      </c>
      <c r="U34" s="95" t="s">
        <v>238</v>
      </c>
      <c r="V34" s="95" t="s">
        <v>239</v>
      </c>
      <c r="W34" s="95" t="s">
        <v>240</v>
      </c>
      <c r="X34" s="95" t="s">
        <v>241</v>
      </c>
      <c r="Y34" s="95" t="s">
        <v>242</v>
      </c>
      <c r="Z34" s="95" t="s">
        <v>243</v>
      </c>
      <c r="AA34" s="95" t="s">
        <v>244</v>
      </c>
      <c r="AB34" s="96" t="s">
        <v>245</v>
      </c>
      <c r="AC34" s="95" t="s">
        <v>246</v>
      </c>
      <c r="AD34" s="95" t="s">
        <v>247</v>
      </c>
      <c r="AE34" s="95" t="s">
        <v>248</v>
      </c>
      <c r="AF34" s="95" t="s">
        <v>249</v>
      </c>
      <c r="AG34" s="95" t="s">
        <v>250</v>
      </c>
      <c r="AH34" s="95" t="s">
        <v>251</v>
      </c>
      <c r="AI34" s="95" t="s">
        <v>252</v>
      </c>
      <c r="AJ34" s="95" t="s">
        <v>253</v>
      </c>
      <c r="AK34" s="95" t="s">
        <v>254</v>
      </c>
      <c r="AL34" s="95" t="s">
        <v>255</v>
      </c>
      <c r="AM34" s="95" t="s">
        <v>256</v>
      </c>
      <c r="AN34" s="95" t="s">
        <v>257</v>
      </c>
      <c r="AO34" s="97" t="s">
        <v>258</v>
      </c>
    </row>
    <row r="35" ht="14" customHeight="1" spans="2:41" x14ac:dyDescent="0.25">
      <c r="B35" s="98" t="s">
        <v>412</v>
      </c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100"/>
    </row>
    <row r="36" spans="2:41" x14ac:dyDescent="0.25">
      <c r="B36" s="101" t="s">
        <v>406</v>
      </c>
      <c r="C36" s="102">
        <f>'Annahmen'!$C$147</f>
      </c>
      <c r="D36" s="103">
        <f>C39</f>
      </c>
      <c r="E36" s="103">
        <f>D39</f>
      </c>
      <c r="F36" s="103">
        <f>E39</f>
      </c>
      <c r="G36" s="103">
        <f>F39</f>
      </c>
      <c r="H36" s="103">
        <f>G39</f>
      </c>
      <c r="I36" s="103">
        <f>H39</f>
      </c>
      <c r="J36" s="103">
        <f>I39</f>
      </c>
      <c r="K36" s="103">
        <f>J39</f>
      </c>
      <c r="L36" s="103">
        <f>K39</f>
      </c>
      <c r="M36" s="103">
        <f>L39</f>
      </c>
      <c r="N36" s="103">
        <f>M39</f>
      </c>
      <c r="O36" s="103">
        <f>C36</f>
      </c>
      <c r="P36" s="103">
        <f>N39</f>
      </c>
      <c r="Q36" s="103">
        <f>P39</f>
      </c>
      <c r="R36" s="103">
        <f>Q39</f>
      </c>
      <c r="S36" s="103">
        <f>R39</f>
      </c>
      <c r="T36" s="103">
        <f>S39</f>
      </c>
      <c r="U36" s="103">
        <f>T39</f>
      </c>
      <c r="V36" s="103">
        <f>U39</f>
      </c>
      <c r="W36" s="103">
        <f>V39</f>
      </c>
      <c r="X36" s="103">
        <f>W39</f>
      </c>
      <c r="Y36" s="103">
        <f>X39</f>
      </c>
      <c r="Z36" s="103">
        <f>Y39</f>
      </c>
      <c r="AA36" s="103">
        <f>Z39</f>
      </c>
      <c r="AB36" s="103">
        <f>P36</f>
      </c>
      <c r="AC36" s="103">
        <f>AA39</f>
      </c>
      <c r="AD36" s="103">
        <f>AC39</f>
      </c>
      <c r="AE36" s="103">
        <f>AD39</f>
      </c>
      <c r="AF36" s="103">
        <f>AE39</f>
      </c>
      <c r="AG36" s="103">
        <f>AF39</f>
      </c>
      <c r="AH36" s="103">
        <f>AG39</f>
      </c>
      <c r="AI36" s="103">
        <f>AH39</f>
      </c>
      <c r="AJ36" s="103">
        <f>AI39</f>
      </c>
      <c r="AK36" s="103">
        <f>AJ39</f>
      </c>
      <c r="AL36" s="103">
        <f>AK39</f>
      </c>
      <c r="AM36" s="103">
        <f>AL39</f>
      </c>
      <c r="AN36" s="103">
        <f>AM39</f>
      </c>
      <c r="AO36" s="104">
        <f>AC36</f>
      </c>
    </row>
    <row r="37" spans="2:41" x14ac:dyDescent="0.25">
      <c r="B37" s="88" t="s">
        <v>407</v>
      </c>
      <c r="C37" s="105">
        <f>F114</f>
      </c>
      <c r="D37" s="105">
        <f>F115</f>
      </c>
      <c r="E37" s="105">
        <f>F116</f>
      </c>
      <c r="F37" s="105">
        <f>F117</f>
      </c>
      <c r="G37" s="105">
        <f>F118</f>
      </c>
      <c r="H37" s="105">
        <f>F119</f>
      </c>
      <c r="I37" s="105">
        <f>F120</f>
      </c>
      <c r="J37" s="105">
        <f>F121</f>
      </c>
      <c r="K37" s="105">
        <f>F122</f>
      </c>
      <c r="L37" s="105">
        <f>F123</f>
      </c>
      <c r="M37" s="105">
        <f>F124</f>
      </c>
      <c r="N37" s="105">
        <f>F125</f>
      </c>
      <c r="O37" s="51">
        <f>SUM(C37:N37)</f>
      </c>
      <c r="P37" s="105">
        <f>F127</f>
      </c>
      <c r="Q37" s="105">
        <f>F128</f>
      </c>
      <c r="R37" s="105">
        <f>F129</f>
      </c>
      <c r="S37" s="105">
        <f>F130</f>
      </c>
      <c r="T37" s="105">
        <f>F131</f>
      </c>
      <c r="U37" s="105">
        <f>F132</f>
      </c>
      <c r="V37" s="105">
        <f>F133</f>
      </c>
      <c r="W37" s="105">
        <f>F134</f>
      </c>
      <c r="X37" s="105">
        <f>F135</f>
      </c>
      <c r="Y37" s="105">
        <f>F136</f>
      </c>
      <c r="Z37" s="105">
        <f>F137</f>
      </c>
      <c r="AA37" s="105">
        <f>F138</f>
      </c>
      <c r="AB37" s="51">
        <f>SUM(P37:AA37)</f>
      </c>
      <c r="AC37" s="105">
        <f>F140</f>
      </c>
      <c r="AD37" s="105">
        <f>F141</f>
      </c>
      <c r="AE37" s="105">
        <f>F142</f>
      </c>
      <c r="AF37" s="105">
        <f>F143</f>
      </c>
      <c r="AG37" s="105">
        <f>F144</f>
      </c>
      <c r="AH37" s="105">
        <f>F145</f>
      </c>
      <c r="AI37" s="105">
        <f>F146</f>
      </c>
      <c r="AJ37" s="105">
        <f>F147</f>
      </c>
      <c r="AK37" s="105">
        <f>F148</f>
      </c>
      <c r="AL37" s="105">
        <f>F149</f>
      </c>
      <c r="AM37" s="105">
        <f>F150</f>
      </c>
      <c r="AN37" s="105">
        <f>F151</f>
      </c>
      <c r="AO37" s="59">
        <f>SUM(AC37:AN37)</f>
      </c>
    </row>
    <row r="38" spans="2:41" x14ac:dyDescent="0.25">
      <c r="B38" s="88" t="s">
        <v>408</v>
      </c>
      <c r="C38" s="105">
        <f>F157</f>
      </c>
      <c r="D38" s="105">
        <f>F158</f>
      </c>
      <c r="E38" s="105">
        <f>F159</f>
      </c>
      <c r="F38" s="105">
        <f>F160</f>
      </c>
      <c r="G38" s="105">
        <f>F161</f>
      </c>
      <c r="H38" s="105">
        <f>F162</f>
      </c>
      <c r="I38" s="105">
        <f>F163</f>
      </c>
      <c r="J38" s="105">
        <f>F164</f>
      </c>
      <c r="K38" s="105">
        <f>F165</f>
      </c>
      <c r="L38" s="105">
        <f>F166</f>
      </c>
      <c r="M38" s="105">
        <f>F167</f>
      </c>
      <c r="N38" s="105">
        <f>F168</f>
      </c>
      <c r="O38" s="51">
        <f>SUM(C38:N38)</f>
      </c>
      <c r="P38" s="105">
        <f>F170</f>
      </c>
      <c r="Q38" s="105">
        <f>F171</f>
      </c>
      <c r="R38" s="105">
        <f>F172</f>
      </c>
      <c r="S38" s="105">
        <f>F173</f>
      </c>
      <c r="T38" s="105">
        <f>F174</f>
      </c>
      <c r="U38" s="105">
        <f>F175</f>
      </c>
      <c r="V38" s="105">
        <f>F176</f>
      </c>
      <c r="W38" s="105">
        <f>F177</f>
      </c>
      <c r="X38" s="105">
        <f>F178</f>
      </c>
      <c r="Y38" s="105">
        <f>F179</f>
      </c>
      <c r="Z38" s="105">
        <f>F180</f>
      </c>
      <c r="AA38" s="105">
        <f>F181</f>
      </c>
      <c r="AB38" s="51">
        <f>SUM(P38:AA38)</f>
      </c>
      <c r="AC38" s="105">
        <f>F183</f>
      </c>
      <c r="AD38" s="105">
        <f>F184</f>
      </c>
      <c r="AE38" s="105">
        <f>F185</f>
      </c>
      <c r="AF38" s="105">
        <f>F186</f>
      </c>
      <c r="AG38" s="105">
        <f>F187</f>
      </c>
      <c r="AH38" s="105">
        <f>F188</f>
      </c>
      <c r="AI38" s="105">
        <f>F189</f>
      </c>
      <c r="AJ38" s="105">
        <f>F190</f>
      </c>
      <c r="AK38" s="105">
        <f>F191</f>
      </c>
      <c r="AL38" s="105">
        <f>F192</f>
      </c>
      <c r="AM38" s="105">
        <f>F193</f>
      </c>
      <c r="AN38" s="105">
        <f>F194</f>
      </c>
      <c r="AO38" s="59">
        <f>SUM(AC38:AN38)</f>
      </c>
    </row>
    <row r="39" spans="2:41" x14ac:dyDescent="0.25">
      <c r="B39" s="89" t="s">
        <v>409</v>
      </c>
      <c r="C39" s="106">
        <f>F286</f>
      </c>
      <c r="D39" s="106">
        <f>F287</f>
      </c>
      <c r="E39" s="106">
        <f>F288</f>
      </c>
      <c r="F39" s="106">
        <f>F289</f>
      </c>
      <c r="G39" s="106">
        <f>F290</f>
      </c>
      <c r="H39" s="106">
        <f>F291</f>
      </c>
      <c r="I39" s="106">
        <f>F292</f>
      </c>
      <c r="J39" s="106">
        <f>F293</f>
      </c>
      <c r="K39" s="106">
        <f>F294</f>
      </c>
      <c r="L39" s="106">
        <f>F295</f>
      </c>
      <c r="M39" s="106">
        <f>F296</f>
      </c>
      <c r="N39" s="106">
        <f>F297</f>
      </c>
      <c r="O39" s="90">
        <f>N39</f>
      </c>
      <c r="P39" s="106">
        <f>F299</f>
      </c>
      <c r="Q39" s="106">
        <f>F300</f>
      </c>
      <c r="R39" s="106">
        <f>F301</f>
      </c>
      <c r="S39" s="106">
        <f>F302</f>
      </c>
      <c r="T39" s="106">
        <f>F303</f>
      </c>
      <c r="U39" s="106">
        <f>F304</f>
      </c>
      <c r="V39" s="106">
        <f>F305</f>
      </c>
      <c r="W39" s="106">
        <f>F306</f>
      </c>
      <c r="X39" s="106">
        <f>F307</f>
      </c>
      <c r="Y39" s="106">
        <f>F308</f>
      </c>
      <c r="Z39" s="106">
        <f>F309</f>
      </c>
      <c r="AA39" s="106">
        <f>F310</f>
      </c>
      <c r="AB39" s="90">
        <f>AA39</f>
      </c>
      <c r="AC39" s="106">
        <f>F312</f>
      </c>
      <c r="AD39" s="106">
        <f>F313</f>
      </c>
      <c r="AE39" s="106">
        <f>F314</f>
      </c>
      <c r="AF39" s="106">
        <f>F315</f>
      </c>
      <c r="AG39" s="106">
        <f>F316</f>
      </c>
      <c r="AH39" s="106">
        <f>F317</f>
      </c>
      <c r="AI39" s="106">
        <f>F318</f>
      </c>
      <c r="AJ39" s="106">
        <f>F319</f>
      </c>
      <c r="AK39" s="106">
        <f>F320</f>
      </c>
      <c r="AL39" s="106">
        <f>F321</f>
      </c>
      <c r="AM39" s="106">
        <f>F322</f>
      </c>
      <c r="AN39" s="106">
        <f>F323</f>
      </c>
      <c r="AO39" s="91">
        <f>AN39</f>
      </c>
    </row>
    <row r="41" ht="18" customHeight="1" spans="2:41" x14ac:dyDescent="0.25">
      <c r="B41" s="94" t="s">
        <v>192</v>
      </c>
      <c r="C41" s="95" t="s">
        <v>220</v>
      </c>
      <c r="D41" s="95" t="s">
        <v>221</v>
      </c>
      <c r="E41" s="95" t="s">
        <v>222</v>
      </c>
      <c r="F41" s="95" t="s">
        <v>223</v>
      </c>
      <c r="G41" s="95" t="s">
        <v>224</v>
      </c>
      <c r="H41" s="95" t="s">
        <v>225</v>
      </c>
      <c r="I41" s="95" t="s">
        <v>226</v>
      </c>
      <c r="J41" s="95" t="s">
        <v>227</v>
      </c>
      <c r="K41" s="95" t="s">
        <v>228</v>
      </c>
      <c r="L41" s="95" t="s">
        <v>229</v>
      </c>
      <c r="M41" s="95" t="s">
        <v>230</v>
      </c>
      <c r="N41" s="95" t="s">
        <v>231</v>
      </c>
      <c r="O41" s="96" t="s">
        <v>232</v>
      </c>
      <c r="P41" s="95" t="s">
        <v>233</v>
      </c>
      <c r="Q41" s="95" t="s">
        <v>234</v>
      </c>
      <c r="R41" s="95" t="s">
        <v>235</v>
      </c>
      <c r="S41" s="95" t="s">
        <v>236</v>
      </c>
      <c r="T41" s="95" t="s">
        <v>237</v>
      </c>
      <c r="U41" s="95" t="s">
        <v>238</v>
      </c>
      <c r="V41" s="95" t="s">
        <v>239</v>
      </c>
      <c r="W41" s="95" t="s">
        <v>240</v>
      </c>
      <c r="X41" s="95" t="s">
        <v>241</v>
      </c>
      <c r="Y41" s="95" t="s">
        <v>242</v>
      </c>
      <c r="Z41" s="95" t="s">
        <v>243</v>
      </c>
      <c r="AA41" s="95" t="s">
        <v>244</v>
      </c>
      <c r="AB41" s="96" t="s">
        <v>245</v>
      </c>
      <c r="AC41" s="95" t="s">
        <v>246</v>
      </c>
      <c r="AD41" s="95" t="s">
        <v>247</v>
      </c>
      <c r="AE41" s="95" t="s">
        <v>248</v>
      </c>
      <c r="AF41" s="95" t="s">
        <v>249</v>
      </c>
      <c r="AG41" s="95" t="s">
        <v>250</v>
      </c>
      <c r="AH41" s="95" t="s">
        <v>251</v>
      </c>
      <c r="AI41" s="95" t="s">
        <v>252</v>
      </c>
      <c r="AJ41" s="95" t="s">
        <v>253</v>
      </c>
      <c r="AK41" s="95" t="s">
        <v>254</v>
      </c>
      <c r="AL41" s="95" t="s">
        <v>255</v>
      </c>
      <c r="AM41" s="95" t="s">
        <v>256</v>
      </c>
      <c r="AN41" s="95" t="s">
        <v>257</v>
      </c>
      <c r="AO41" s="97" t="s">
        <v>258</v>
      </c>
    </row>
    <row r="42" ht="14" customHeight="1" spans="2:41" x14ac:dyDescent="0.25">
      <c r="B42" s="98" t="s">
        <v>413</v>
      </c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100"/>
    </row>
    <row r="43" spans="2:41" x14ac:dyDescent="0.25">
      <c r="B43" s="101" t="s">
        <v>406</v>
      </c>
      <c r="C43" s="102">
        <f>'Annahmen'!$C$148</f>
      </c>
      <c r="D43" s="103">
        <f>C46</f>
      </c>
      <c r="E43" s="103">
        <f>D46</f>
      </c>
      <c r="F43" s="103">
        <f>E46</f>
      </c>
      <c r="G43" s="103">
        <f>F46</f>
      </c>
      <c r="H43" s="103">
        <f>G46</f>
      </c>
      <c r="I43" s="103">
        <f>H46</f>
      </c>
      <c r="J43" s="103">
        <f>I46</f>
      </c>
      <c r="K43" s="103">
        <f>J46</f>
      </c>
      <c r="L43" s="103">
        <f>K46</f>
      </c>
      <c r="M43" s="103">
        <f>L46</f>
      </c>
      <c r="N43" s="103">
        <f>M46</f>
      </c>
      <c r="O43" s="103">
        <f>C43</f>
      </c>
      <c r="P43" s="103">
        <f>N46</f>
      </c>
      <c r="Q43" s="103">
        <f>P46</f>
      </c>
      <c r="R43" s="103">
        <f>Q46</f>
      </c>
      <c r="S43" s="103">
        <f>R46</f>
      </c>
      <c r="T43" s="103">
        <f>S46</f>
      </c>
      <c r="U43" s="103">
        <f>T46</f>
      </c>
      <c r="V43" s="103">
        <f>U46</f>
      </c>
      <c r="W43" s="103">
        <f>V46</f>
      </c>
      <c r="X43" s="103">
        <f>W46</f>
      </c>
      <c r="Y43" s="103">
        <f>X46</f>
      </c>
      <c r="Z43" s="103">
        <f>Y46</f>
      </c>
      <c r="AA43" s="103">
        <f>Z46</f>
      </c>
      <c r="AB43" s="103">
        <f>P43</f>
      </c>
      <c r="AC43" s="103">
        <f>AA46</f>
      </c>
      <c r="AD43" s="103">
        <f>AC46</f>
      </c>
      <c r="AE43" s="103">
        <f>AD46</f>
      </c>
      <c r="AF43" s="103">
        <f>AE46</f>
      </c>
      <c r="AG43" s="103">
        <f>AF46</f>
      </c>
      <c r="AH43" s="103">
        <f>AG46</f>
      </c>
      <c r="AI43" s="103">
        <f>AH46</f>
      </c>
      <c r="AJ43" s="103">
        <f>AI46</f>
      </c>
      <c r="AK43" s="103">
        <f>AJ46</f>
      </c>
      <c r="AL43" s="103">
        <f>AK46</f>
      </c>
      <c r="AM43" s="103">
        <f>AL46</f>
      </c>
      <c r="AN43" s="103">
        <f>AM46</f>
      </c>
      <c r="AO43" s="104">
        <f>AC43</f>
      </c>
    </row>
    <row r="44" spans="2:41" x14ac:dyDescent="0.25">
      <c r="B44" s="88" t="s">
        <v>407</v>
      </c>
      <c r="C44" s="105">
        <f>G114</f>
      </c>
      <c r="D44" s="105">
        <f>G115</f>
      </c>
      <c r="E44" s="105">
        <f>G116</f>
      </c>
      <c r="F44" s="105">
        <f>G117</f>
      </c>
      <c r="G44" s="105">
        <f>G118</f>
      </c>
      <c r="H44" s="105">
        <f>G119</f>
      </c>
      <c r="I44" s="105">
        <f>G120</f>
      </c>
      <c r="J44" s="105">
        <f>G121</f>
      </c>
      <c r="K44" s="105">
        <f>G122</f>
      </c>
      <c r="L44" s="105">
        <f>G123</f>
      </c>
      <c r="M44" s="105">
        <f>G124</f>
      </c>
      <c r="N44" s="105">
        <f>G125</f>
      </c>
      <c r="O44" s="51">
        <f>SUM(C44:N44)</f>
      </c>
      <c r="P44" s="105">
        <f>G127</f>
      </c>
      <c r="Q44" s="105">
        <f>G128</f>
      </c>
      <c r="R44" s="105">
        <f>G129</f>
      </c>
      <c r="S44" s="105">
        <f>G130</f>
      </c>
      <c r="T44" s="105">
        <f>G131</f>
      </c>
      <c r="U44" s="105">
        <f>G132</f>
      </c>
      <c r="V44" s="105">
        <f>G133</f>
      </c>
      <c r="W44" s="105">
        <f>G134</f>
      </c>
      <c r="X44" s="105">
        <f>G135</f>
      </c>
      <c r="Y44" s="105">
        <f>G136</f>
      </c>
      <c r="Z44" s="105">
        <f>G137</f>
      </c>
      <c r="AA44" s="105">
        <f>G138</f>
      </c>
      <c r="AB44" s="51">
        <f>SUM(P44:AA44)</f>
      </c>
      <c r="AC44" s="105">
        <f>G140</f>
      </c>
      <c r="AD44" s="105">
        <f>G141</f>
      </c>
      <c r="AE44" s="105">
        <f>G142</f>
      </c>
      <c r="AF44" s="105">
        <f>G143</f>
      </c>
      <c r="AG44" s="105">
        <f>G144</f>
      </c>
      <c r="AH44" s="105">
        <f>G145</f>
      </c>
      <c r="AI44" s="105">
        <f>G146</f>
      </c>
      <c r="AJ44" s="105">
        <f>G147</f>
      </c>
      <c r="AK44" s="105">
        <f>G148</f>
      </c>
      <c r="AL44" s="105">
        <f>G149</f>
      </c>
      <c r="AM44" s="105">
        <f>G150</f>
      </c>
      <c r="AN44" s="105">
        <f>G151</f>
      </c>
      <c r="AO44" s="59">
        <f>SUM(AC44:AN44)</f>
      </c>
    </row>
    <row r="45" spans="2:41" x14ac:dyDescent="0.25">
      <c r="B45" s="88" t="s">
        <v>408</v>
      </c>
      <c r="C45" s="105">
        <f>G157</f>
      </c>
      <c r="D45" s="105">
        <f>G158</f>
      </c>
      <c r="E45" s="105">
        <f>G159</f>
      </c>
      <c r="F45" s="105">
        <f>G160</f>
      </c>
      <c r="G45" s="105">
        <f>G161</f>
      </c>
      <c r="H45" s="105">
        <f>G162</f>
      </c>
      <c r="I45" s="105">
        <f>G163</f>
      </c>
      <c r="J45" s="105">
        <f>G164</f>
      </c>
      <c r="K45" s="105">
        <f>G165</f>
      </c>
      <c r="L45" s="105">
        <f>G166</f>
      </c>
      <c r="M45" s="105">
        <f>G167</f>
      </c>
      <c r="N45" s="105">
        <f>G168</f>
      </c>
      <c r="O45" s="51">
        <f>SUM(C45:N45)</f>
      </c>
      <c r="P45" s="105">
        <f>G170</f>
      </c>
      <c r="Q45" s="105">
        <f>G171</f>
      </c>
      <c r="R45" s="105">
        <f>G172</f>
      </c>
      <c r="S45" s="105">
        <f>G173</f>
      </c>
      <c r="T45" s="105">
        <f>G174</f>
      </c>
      <c r="U45" s="105">
        <f>G175</f>
      </c>
      <c r="V45" s="105">
        <f>G176</f>
      </c>
      <c r="W45" s="105">
        <f>G177</f>
      </c>
      <c r="X45" s="105">
        <f>G178</f>
      </c>
      <c r="Y45" s="105">
        <f>G179</f>
      </c>
      <c r="Z45" s="105">
        <f>G180</f>
      </c>
      <c r="AA45" s="105">
        <f>G181</f>
      </c>
      <c r="AB45" s="51">
        <f>SUM(P45:AA45)</f>
      </c>
      <c r="AC45" s="105">
        <f>G183</f>
      </c>
      <c r="AD45" s="105">
        <f>G184</f>
      </c>
      <c r="AE45" s="105">
        <f>G185</f>
      </c>
      <c r="AF45" s="105">
        <f>G186</f>
      </c>
      <c r="AG45" s="105">
        <f>G187</f>
      </c>
      <c r="AH45" s="105">
        <f>G188</f>
      </c>
      <c r="AI45" s="105">
        <f>G189</f>
      </c>
      <c r="AJ45" s="105">
        <f>G190</f>
      </c>
      <c r="AK45" s="105">
        <f>G191</f>
      </c>
      <c r="AL45" s="105">
        <f>G192</f>
      </c>
      <c r="AM45" s="105">
        <f>G193</f>
      </c>
      <c r="AN45" s="105">
        <f>G194</f>
      </c>
      <c r="AO45" s="59">
        <f>SUM(AC45:AN45)</f>
      </c>
    </row>
    <row r="46" spans="2:41" x14ac:dyDescent="0.25">
      <c r="B46" s="89" t="s">
        <v>409</v>
      </c>
      <c r="C46" s="106">
        <f>G286</f>
      </c>
      <c r="D46" s="106">
        <f>G287</f>
      </c>
      <c r="E46" s="106">
        <f>G288</f>
      </c>
      <c r="F46" s="106">
        <f>G289</f>
      </c>
      <c r="G46" s="106">
        <f>G290</f>
      </c>
      <c r="H46" s="106">
        <f>G291</f>
      </c>
      <c r="I46" s="106">
        <f>G292</f>
      </c>
      <c r="J46" s="106">
        <f>G293</f>
      </c>
      <c r="K46" s="106">
        <f>G294</f>
      </c>
      <c r="L46" s="106">
        <f>G295</f>
      </c>
      <c r="M46" s="106">
        <f>G296</f>
      </c>
      <c r="N46" s="106">
        <f>G297</f>
      </c>
      <c r="O46" s="90">
        <f>N46</f>
      </c>
      <c r="P46" s="106">
        <f>G299</f>
      </c>
      <c r="Q46" s="106">
        <f>G300</f>
      </c>
      <c r="R46" s="106">
        <f>G301</f>
      </c>
      <c r="S46" s="106">
        <f>G302</f>
      </c>
      <c r="T46" s="106">
        <f>G303</f>
      </c>
      <c r="U46" s="106">
        <f>G304</f>
      </c>
      <c r="V46" s="106">
        <f>G305</f>
      </c>
      <c r="W46" s="106">
        <f>G306</f>
      </c>
      <c r="X46" s="106">
        <f>G307</f>
      </c>
      <c r="Y46" s="106">
        <f>G308</f>
      </c>
      <c r="Z46" s="106">
        <f>G309</f>
      </c>
      <c r="AA46" s="106">
        <f>G310</f>
      </c>
      <c r="AB46" s="90">
        <f>AA46</f>
      </c>
      <c r="AC46" s="106">
        <f>G312</f>
      </c>
      <c r="AD46" s="106">
        <f>G313</f>
      </c>
      <c r="AE46" s="106">
        <f>G314</f>
      </c>
      <c r="AF46" s="106">
        <f>G315</f>
      </c>
      <c r="AG46" s="106">
        <f>G316</f>
      </c>
      <c r="AH46" s="106">
        <f>G317</f>
      </c>
      <c r="AI46" s="106">
        <f>G318</f>
      </c>
      <c r="AJ46" s="106">
        <f>G319</f>
      </c>
      <c r="AK46" s="106">
        <f>G320</f>
      </c>
      <c r="AL46" s="106">
        <f>G321</f>
      </c>
      <c r="AM46" s="106">
        <f>G322</f>
      </c>
      <c r="AN46" s="106">
        <f>G323</f>
      </c>
      <c r="AO46" s="91">
        <f>AN46</f>
      </c>
    </row>
    <row r="48" ht="18" customHeight="1" spans="2:41" x14ac:dyDescent="0.25">
      <c r="B48" s="94" t="s">
        <v>194</v>
      </c>
      <c r="C48" s="95" t="s">
        <v>220</v>
      </c>
      <c r="D48" s="95" t="s">
        <v>221</v>
      </c>
      <c r="E48" s="95" t="s">
        <v>222</v>
      </c>
      <c r="F48" s="95" t="s">
        <v>223</v>
      </c>
      <c r="G48" s="95" t="s">
        <v>224</v>
      </c>
      <c r="H48" s="95" t="s">
        <v>225</v>
      </c>
      <c r="I48" s="95" t="s">
        <v>226</v>
      </c>
      <c r="J48" s="95" t="s">
        <v>227</v>
      </c>
      <c r="K48" s="95" t="s">
        <v>228</v>
      </c>
      <c r="L48" s="95" t="s">
        <v>229</v>
      </c>
      <c r="M48" s="95" t="s">
        <v>230</v>
      </c>
      <c r="N48" s="95" t="s">
        <v>231</v>
      </c>
      <c r="O48" s="96" t="s">
        <v>232</v>
      </c>
      <c r="P48" s="95" t="s">
        <v>233</v>
      </c>
      <c r="Q48" s="95" t="s">
        <v>234</v>
      </c>
      <c r="R48" s="95" t="s">
        <v>235</v>
      </c>
      <c r="S48" s="95" t="s">
        <v>236</v>
      </c>
      <c r="T48" s="95" t="s">
        <v>237</v>
      </c>
      <c r="U48" s="95" t="s">
        <v>238</v>
      </c>
      <c r="V48" s="95" t="s">
        <v>239</v>
      </c>
      <c r="W48" s="95" t="s">
        <v>240</v>
      </c>
      <c r="X48" s="95" t="s">
        <v>241</v>
      </c>
      <c r="Y48" s="95" t="s">
        <v>242</v>
      </c>
      <c r="Z48" s="95" t="s">
        <v>243</v>
      </c>
      <c r="AA48" s="95" t="s">
        <v>244</v>
      </c>
      <c r="AB48" s="96" t="s">
        <v>245</v>
      </c>
      <c r="AC48" s="95" t="s">
        <v>246</v>
      </c>
      <c r="AD48" s="95" t="s">
        <v>247</v>
      </c>
      <c r="AE48" s="95" t="s">
        <v>248</v>
      </c>
      <c r="AF48" s="95" t="s">
        <v>249</v>
      </c>
      <c r="AG48" s="95" t="s">
        <v>250</v>
      </c>
      <c r="AH48" s="95" t="s">
        <v>251</v>
      </c>
      <c r="AI48" s="95" t="s">
        <v>252</v>
      </c>
      <c r="AJ48" s="95" t="s">
        <v>253</v>
      </c>
      <c r="AK48" s="95" t="s">
        <v>254</v>
      </c>
      <c r="AL48" s="95" t="s">
        <v>255</v>
      </c>
      <c r="AM48" s="95" t="s">
        <v>256</v>
      </c>
      <c r="AN48" s="95" t="s">
        <v>257</v>
      </c>
      <c r="AO48" s="97" t="s">
        <v>258</v>
      </c>
    </row>
    <row r="49" ht="14" customHeight="1" spans="2:41" x14ac:dyDescent="0.25">
      <c r="B49" s="98" t="s">
        <v>414</v>
      </c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100"/>
    </row>
    <row r="50" spans="2:41" x14ac:dyDescent="0.25">
      <c r="B50" s="101" t="s">
        <v>406</v>
      </c>
      <c r="C50" s="102">
        <f>'Annahmen'!$C$149</f>
      </c>
      <c r="D50" s="103">
        <f>C53</f>
      </c>
      <c r="E50" s="103">
        <f>D53</f>
      </c>
      <c r="F50" s="103">
        <f>E53</f>
      </c>
      <c r="G50" s="103">
        <f>F53</f>
      </c>
      <c r="H50" s="103">
        <f>G53</f>
      </c>
      <c r="I50" s="103">
        <f>H53</f>
      </c>
      <c r="J50" s="103">
        <f>I53</f>
      </c>
      <c r="K50" s="103">
        <f>J53</f>
      </c>
      <c r="L50" s="103">
        <f>K53</f>
      </c>
      <c r="M50" s="103">
        <f>L53</f>
      </c>
      <c r="N50" s="103">
        <f>M53</f>
      </c>
      <c r="O50" s="103">
        <f>C50</f>
      </c>
      <c r="P50" s="103">
        <f>N53</f>
      </c>
      <c r="Q50" s="103">
        <f>P53</f>
      </c>
      <c r="R50" s="103">
        <f>Q53</f>
      </c>
      <c r="S50" s="103">
        <f>R53</f>
      </c>
      <c r="T50" s="103">
        <f>S53</f>
      </c>
      <c r="U50" s="103">
        <f>T53</f>
      </c>
      <c r="V50" s="103">
        <f>U53</f>
      </c>
      <c r="W50" s="103">
        <f>V53</f>
      </c>
      <c r="X50" s="103">
        <f>W53</f>
      </c>
      <c r="Y50" s="103">
        <f>X53</f>
      </c>
      <c r="Z50" s="103">
        <f>Y53</f>
      </c>
      <c r="AA50" s="103">
        <f>Z53</f>
      </c>
      <c r="AB50" s="103">
        <f>P50</f>
      </c>
      <c r="AC50" s="103">
        <f>AA53</f>
      </c>
      <c r="AD50" s="103">
        <f>AC53</f>
      </c>
      <c r="AE50" s="103">
        <f>AD53</f>
      </c>
      <c r="AF50" s="103">
        <f>AE53</f>
      </c>
      <c r="AG50" s="103">
        <f>AF53</f>
      </c>
      <c r="AH50" s="103">
        <f>AG53</f>
      </c>
      <c r="AI50" s="103">
        <f>AH53</f>
      </c>
      <c r="AJ50" s="103">
        <f>AI53</f>
      </c>
      <c r="AK50" s="103">
        <f>AJ53</f>
      </c>
      <c r="AL50" s="103">
        <f>AK53</f>
      </c>
      <c r="AM50" s="103">
        <f>AL53</f>
      </c>
      <c r="AN50" s="103">
        <f>AM53</f>
      </c>
      <c r="AO50" s="104">
        <f>AC50</f>
      </c>
    </row>
    <row r="51" spans="2:41" x14ac:dyDescent="0.25">
      <c r="B51" s="88" t="s">
        <v>407</v>
      </c>
      <c r="C51" s="105">
        <f>H114</f>
      </c>
      <c r="D51" s="105">
        <f>H115</f>
      </c>
      <c r="E51" s="105">
        <f>H116</f>
      </c>
      <c r="F51" s="105">
        <f>H117</f>
      </c>
      <c r="G51" s="105">
        <f>H118</f>
      </c>
      <c r="H51" s="105">
        <f>H119</f>
      </c>
      <c r="I51" s="105">
        <f>H120</f>
      </c>
      <c r="J51" s="105">
        <f>H121</f>
      </c>
      <c r="K51" s="105">
        <f>H122</f>
      </c>
      <c r="L51" s="105">
        <f>H123</f>
      </c>
      <c r="M51" s="105">
        <f>H124</f>
      </c>
      <c r="N51" s="105">
        <f>H125</f>
      </c>
      <c r="O51" s="51">
        <f>SUM(C51:N51)</f>
      </c>
      <c r="P51" s="105">
        <f>H127</f>
      </c>
      <c r="Q51" s="105">
        <f>H128</f>
      </c>
      <c r="R51" s="105">
        <f>H129</f>
      </c>
      <c r="S51" s="105">
        <f>H130</f>
      </c>
      <c r="T51" s="105">
        <f>H131</f>
      </c>
      <c r="U51" s="105">
        <f>H132</f>
      </c>
      <c r="V51" s="105">
        <f>H133</f>
      </c>
      <c r="W51" s="105">
        <f>H134</f>
      </c>
      <c r="X51" s="105">
        <f>H135</f>
      </c>
      <c r="Y51" s="105">
        <f>H136</f>
      </c>
      <c r="Z51" s="105">
        <f>H137</f>
      </c>
      <c r="AA51" s="105">
        <f>H138</f>
      </c>
      <c r="AB51" s="51">
        <f>SUM(P51:AA51)</f>
      </c>
      <c r="AC51" s="105">
        <f>H140</f>
      </c>
      <c r="AD51" s="105">
        <f>H141</f>
      </c>
      <c r="AE51" s="105">
        <f>H142</f>
      </c>
      <c r="AF51" s="105">
        <f>H143</f>
      </c>
      <c r="AG51" s="105">
        <f>H144</f>
      </c>
      <c r="AH51" s="105">
        <f>H145</f>
      </c>
      <c r="AI51" s="105">
        <f>H146</f>
      </c>
      <c r="AJ51" s="105">
        <f>H147</f>
      </c>
      <c r="AK51" s="105">
        <f>H148</f>
      </c>
      <c r="AL51" s="105">
        <f>H149</f>
      </c>
      <c r="AM51" s="105">
        <f>H150</f>
      </c>
      <c r="AN51" s="105">
        <f>H151</f>
      </c>
      <c r="AO51" s="59">
        <f>SUM(AC51:AN51)</f>
      </c>
    </row>
    <row r="52" spans="2:41" x14ac:dyDescent="0.25">
      <c r="B52" s="88" t="s">
        <v>408</v>
      </c>
      <c r="C52" s="105">
        <f>H157</f>
      </c>
      <c r="D52" s="105">
        <f>H158</f>
      </c>
      <c r="E52" s="105">
        <f>H159</f>
      </c>
      <c r="F52" s="105">
        <f>H160</f>
      </c>
      <c r="G52" s="105">
        <f>H161</f>
      </c>
      <c r="H52" s="105">
        <f>H162</f>
      </c>
      <c r="I52" s="105">
        <f>H163</f>
      </c>
      <c r="J52" s="105">
        <f>H164</f>
      </c>
      <c r="K52" s="105">
        <f>H165</f>
      </c>
      <c r="L52" s="105">
        <f>H166</f>
      </c>
      <c r="M52" s="105">
        <f>H167</f>
      </c>
      <c r="N52" s="105">
        <f>H168</f>
      </c>
      <c r="O52" s="51">
        <f>SUM(C52:N52)</f>
      </c>
      <c r="P52" s="105">
        <f>H170</f>
      </c>
      <c r="Q52" s="105">
        <f>H171</f>
      </c>
      <c r="R52" s="105">
        <f>H172</f>
      </c>
      <c r="S52" s="105">
        <f>H173</f>
      </c>
      <c r="T52" s="105">
        <f>H174</f>
      </c>
      <c r="U52" s="105">
        <f>H175</f>
      </c>
      <c r="V52" s="105">
        <f>H176</f>
      </c>
      <c r="W52" s="105">
        <f>H177</f>
      </c>
      <c r="X52" s="105">
        <f>H178</f>
      </c>
      <c r="Y52" s="105">
        <f>H179</f>
      </c>
      <c r="Z52" s="105">
        <f>H180</f>
      </c>
      <c r="AA52" s="105">
        <f>H181</f>
      </c>
      <c r="AB52" s="51">
        <f>SUM(P52:AA52)</f>
      </c>
      <c r="AC52" s="105">
        <f>H183</f>
      </c>
      <c r="AD52" s="105">
        <f>H184</f>
      </c>
      <c r="AE52" s="105">
        <f>H185</f>
      </c>
      <c r="AF52" s="105">
        <f>H186</f>
      </c>
      <c r="AG52" s="105">
        <f>H187</f>
      </c>
      <c r="AH52" s="105">
        <f>H188</f>
      </c>
      <c r="AI52" s="105">
        <f>H189</f>
      </c>
      <c r="AJ52" s="105">
        <f>H190</f>
      </c>
      <c r="AK52" s="105">
        <f>H191</f>
      </c>
      <c r="AL52" s="105">
        <f>H192</f>
      </c>
      <c r="AM52" s="105">
        <f>H193</f>
      </c>
      <c r="AN52" s="105">
        <f>H194</f>
      </c>
      <c r="AO52" s="59">
        <f>SUM(AC52:AN52)</f>
      </c>
    </row>
    <row r="53" spans="2:41" x14ac:dyDescent="0.25">
      <c r="B53" s="89" t="s">
        <v>409</v>
      </c>
      <c r="C53" s="106">
        <f>H286</f>
      </c>
      <c r="D53" s="106">
        <f>H287</f>
      </c>
      <c r="E53" s="106">
        <f>H288</f>
      </c>
      <c r="F53" s="106">
        <f>H289</f>
      </c>
      <c r="G53" s="106">
        <f>H290</f>
      </c>
      <c r="H53" s="106">
        <f>H291</f>
      </c>
      <c r="I53" s="106">
        <f>H292</f>
      </c>
      <c r="J53" s="106">
        <f>H293</f>
      </c>
      <c r="K53" s="106">
        <f>H294</f>
      </c>
      <c r="L53" s="106">
        <f>H295</f>
      </c>
      <c r="M53" s="106">
        <f>H296</f>
      </c>
      <c r="N53" s="106">
        <f>H297</f>
      </c>
      <c r="O53" s="90">
        <f>N53</f>
      </c>
      <c r="P53" s="106">
        <f>H299</f>
      </c>
      <c r="Q53" s="106">
        <f>H300</f>
      </c>
      <c r="R53" s="106">
        <f>H301</f>
      </c>
      <c r="S53" s="106">
        <f>H302</f>
      </c>
      <c r="T53" s="106">
        <f>H303</f>
      </c>
      <c r="U53" s="106">
        <f>H304</f>
      </c>
      <c r="V53" s="106">
        <f>H305</f>
      </c>
      <c r="W53" s="106">
        <f>H306</f>
      </c>
      <c r="X53" s="106">
        <f>H307</f>
      </c>
      <c r="Y53" s="106">
        <f>H308</f>
      </c>
      <c r="Z53" s="106">
        <f>H309</f>
      </c>
      <c r="AA53" s="106">
        <f>H310</f>
      </c>
      <c r="AB53" s="90">
        <f>AA53</f>
      </c>
      <c r="AC53" s="106">
        <f>H312</f>
      </c>
      <c r="AD53" s="106">
        <f>H313</f>
      </c>
      <c r="AE53" s="106">
        <f>H314</f>
      </c>
      <c r="AF53" s="106">
        <f>H315</f>
      </c>
      <c r="AG53" s="106">
        <f>H316</f>
      </c>
      <c r="AH53" s="106">
        <f>H317</f>
      </c>
      <c r="AI53" s="106">
        <f>H318</f>
      </c>
      <c r="AJ53" s="106">
        <f>H319</f>
      </c>
      <c r="AK53" s="106">
        <f>H320</f>
      </c>
      <c r="AL53" s="106">
        <f>H321</f>
      </c>
      <c r="AM53" s="106">
        <f>H322</f>
      </c>
      <c r="AN53" s="106">
        <f>H323</f>
      </c>
      <c r="AO53" s="91">
        <f>AN53</f>
      </c>
    </row>
    <row r="55" ht="18" customHeight="1" spans="2:41" x14ac:dyDescent="0.25">
      <c r="B55" s="94" t="s">
        <v>195</v>
      </c>
      <c r="C55" s="95" t="s">
        <v>220</v>
      </c>
      <c r="D55" s="95" t="s">
        <v>221</v>
      </c>
      <c r="E55" s="95" t="s">
        <v>222</v>
      </c>
      <c r="F55" s="95" t="s">
        <v>223</v>
      </c>
      <c r="G55" s="95" t="s">
        <v>224</v>
      </c>
      <c r="H55" s="95" t="s">
        <v>225</v>
      </c>
      <c r="I55" s="95" t="s">
        <v>226</v>
      </c>
      <c r="J55" s="95" t="s">
        <v>227</v>
      </c>
      <c r="K55" s="95" t="s">
        <v>228</v>
      </c>
      <c r="L55" s="95" t="s">
        <v>229</v>
      </c>
      <c r="M55" s="95" t="s">
        <v>230</v>
      </c>
      <c r="N55" s="95" t="s">
        <v>231</v>
      </c>
      <c r="O55" s="96" t="s">
        <v>232</v>
      </c>
      <c r="P55" s="95" t="s">
        <v>233</v>
      </c>
      <c r="Q55" s="95" t="s">
        <v>234</v>
      </c>
      <c r="R55" s="95" t="s">
        <v>235</v>
      </c>
      <c r="S55" s="95" t="s">
        <v>236</v>
      </c>
      <c r="T55" s="95" t="s">
        <v>237</v>
      </c>
      <c r="U55" s="95" t="s">
        <v>238</v>
      </c>
      <c r="V55" s="95" t="s">
        <v>239</v>
      </c>
      <c r="W55" s="95" t="s">
        <v>240</v>
      </c>
      <c r="X55" s="95" t="s">
        <v>241</v>
      </c>
      <c r="Y55" s="95" t="s">
        <v>242</v>
      </c>
      <c r="Z55" s="95" t="s">
        <v>243</v>
      </c>
      <c r="AA55" s="95" t="s">
        <v>244</v>
      </c>
      <c r="AB55" s="96" t="s">
        <v>245</v>
      </c>
      <c r="AC55" s="95" t="s">
        <v>246</v>
      </c>
      <c r="AD55" s="95" t="s">
        <v>247</v>
      </c>
      <c r="AE55" s="95" t="s">
        <v>248</v>
      </c>
      <c r="AF55" s="95" t="s">
        <v>249</v>
      </c>
      <c r="AG55" s="95" t="s">
        <v>250</v>
      </c>
      <c r="AH55" s="95" t="s">
        <v>251</v>
      </c>
      <c r="AI55" s="95" t="s">
        <v>252</v>
      </c>
      <c r="AJ55" s="95" t="s">
        <v>253</v>
      </c>
      <c r="AK55" s="95" t="s">
        <v>254</v>
      </c>
      <c r="AL55" s="95" t="s">
        <v>255</v>
      </c>
      <c r="AM55" s="95" t="s">
        <v>256</v>
      </c>
      <c r="AN55" s="95" t="s">
        <v>257</v>
      </c>
      <c r="AO55" s="97" t="s">
        <v>258</v>
      </c>
    </row>
    <row r="56" ht="14" customHeight="1" spans="2:41" x14ac:dyDescent="0.25">
      <c r="B56" s="98" t="s">
        <v>415</v>
      </c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100"/>
    </row>
    <row r="57" spans="2:41" x14ac:dyDescent="0.25">
      <c r="B57" s="101" t="s">
        <v>406</v>
      </c>
      <c r="C57" s="102">
        <f>'Annahmen'!$C$150</f>
      </c>
      <c r="D57" s="103">
        <f>C60</f>
      </c>
      <c r="E57" s="103">
        <f>D60</f>
      </c>
      <c r="F57" s="103">
        <f>E60</f>
      </c>
      <c r="G57" s="103">
        <f>F60</f>
      </c>
      <c r="H57" s="103">
        <f>G60</f>
      </c>
      <c r="I57" s="103">
        <f>H60</f>
      </c>
      <c r="J57" s="103">
        <f>I60</f>
      </c>
      <c r="K57" s="103">
        <f>J60</f>
      </c>
      <c r="L57" s="103">
        <f>K60</f>
      </c>
      <c r="M57" s="103">
        <f>L60</f>
      </c>
      <c r="N57" s="103">
        <f>M60</f>
      </c>
      <c r="O57" s="103">
        <f>C57</f>
      </c>
      <c r="P57" s="103">
        <f>N60</f>
      </c>
      <c r="Q57" s="103">
        <f>P60</f>
      </c>
      <c r="R57" s="103">
        <f>Q60</f>
      </c>
      <c r="S57" s="103">
        <f>R60</f>
      </c>
      <c r="T57" s="103">
        <f>S60</f>
      </c>
      <c r="U57" s="103">
        <f>T60</f>
      </c>
      <c r="V57" s="103">
        <f>U60</f>
      </c>
      <c r="W57" s="103">
        <f>V60</f>
      </c>
      <c r="X57" s="103">
        <f>W60</f>
      </c>
      <c r="Y57" s="103">
        <f>X60</f>
      </c>
      <c r="Z57" s="103">
        <f>Y60</f>
      </c>
      <c r="AA57" s="103">
        <f>Z60</f>
      </c>
      <c r="AB57" s="103">
        <f>P57</f>
      </c>
      <c r="AC57" s="103">
        <f>AA60</f>
      </c>
      <c r="AD57" s="103">
        <f>AC60</f>
      </c>
      <c r="AE57" s="103">
        <f>AD60</f>
      </c>
      <c r="AF57" s="103">
        <f>AE60</f>
      </c>
      <c r="AG57" s="103">
        <f>AF60</f>
      </c>
      <c r="AH57" s="103">
        <f>AG60</f>
      </c>
      <c r="AI57" s="103">
        <f>AH60</f>
      </c>
      <c r="AJ57" s="103">
        <f>AI60</f>
      </c>
      <c r="AK57" s="103">
        <f>AJ60</f>
      </c>
      <c r="AL57" s="103">
        <f>AK60</f>
      </c>
      <c r="AM57" s="103">
        <f>AL60</f>
      </c>
      <c r="AN57" s="103">
        <f>AM60</f>
      </c>
      <c r="AO57" s="104">
        <f>AC57</f>
      </c>
    </row>
    <row r="58" spans="2:41" x14ac:dyDescent="0.25">
      <c r="B58" s="88" t="s">
        <v>407</v>
      </c>
      <c r="C58" s="105">
        <f>I114</f>
      </c>
      <c r="D58" s="105">
        <f>I115</f>
      </c>
      <c r="E58" s="105">
        <f>I116</f>
      </c>
      <c r="F58" s="105">
        <f>I117</f>
      </c>
      <c r="G58" s="105">
        <f>I118</f>
      </c>
      <c r="H58" s="105">
        <f>I119</f>
      </c>
      <c r="I58" s="105">
        <f>I120</f>
      </c>
      <c r="J58" s="105">
        <f>I121</f>
      </c>
      <c r="K58" s="105">
        <f>I122</f>
      </c>
      <c r="L58" s="105">
        <f>I123</f>
      </c>
      <c r="M58" s="105">
        <f>I124</f>
      </c>
      <c r="N58" s="105">
        <f>I125</f>
      </c>
      <c r="O58" s="51">
        <f>SUM(C58:N58)</f>
      </c>
      <c r="P58" s="105">
        <f>I127</f>
      </c>
      <c r="Q58" s="105">
        <f>I128</f>
      </c>
      <c r="R58" s="105">
        <f>I129</f>
      </c>
      <c r="S58" s="105">
        <f>I130</f>
      </c>
      <c r="T58" s="105">
        <f>I131</f>
      </c>
      <c r="U58" s="105">
        <f>I132</f>
      </c>
      <c r="V58" s="105">
        <f>I133</f>
      </c>
      <c r="W58" s="105">
        <f>I134</f>
      </c>
      <c r="X58" s="105">
        <f>I135</f>
      </c>
      <c r="Y58" s="105">
        <f>I136</f>
      </c>
      <c r="Z58" s="105">
        <f>I137</f>
      </c>
      <c r="AA58" s="105">
        <f>I138</f>
      </c>
      <c r="AB58" s="51">
        <f>SUM(P58:AA58)</f>
      </c>
      <c r="AC58" s="105">
        <f>I140</f>
      </c>
      <c r="AD58" s="105">
        <f>I141</f>
      </c>
      <c r="AE58" s="105">
        <f>I142</f>
      </c>
      <c r="AF58" s="105">
        <f>I143</f>
      </c>
      <c r="AG58" s="105">
        <f>I144</f>
      </c>
      <c r="AH58" s="105">
        <f>I145</f>
      </c>
      <c r="AI58" s="105">
        <f>I146</f>
      </c>
      <c r="AJ58" s="105">
        <f>I147</f>
      </c>
      <c r="AK58" s="105">
        <f>I148</f>
      </c>
      <c r="AL58" s="105">
        <f>I149</f>
      </c>
      <c r="AM58" s="105">
        <f>I150</f>
      </c>
      <c r="AN58" s="105">
        <f>I151</f>
      </c>
      <c r="AO58" s="59">
        <f>SUM(AC58:AN58)</f>
      </c>
    </row>
    <row r="59" spans="2:41" x14ac:dyDescent="0.25">
      <c r="B59" s="88" t="s">
        <v>408</v>
      </c>
      <c r="C59" s="105">
        <f>I157</f>
      </c>
      <c r="D59" s="105">
        <f>I158</f>
      </c>
      <c r="E59" s="105">
        <f>I159</f>
      </c>
      <c r="F59" s="105">
        <f>I160</f>
      </c>
      <c r="G59" s="105">
        <f>I161</f>
      </c>
      <c r="H59" s="105">
        <f>I162</f>
      </c>
      <c r="I59" s="105">
        <f>I163</f>
      </c>
      <c r="J59" s="105">
        <f>I164</f>
      </c>
      <c r="K59" s="105">
        <f>I165</f>
      </c>
      <c r="L59" s="105">
        <f>I166</f>
      </c>
      <c r="M59" s="105">
        <f>I167</f>
      </c>
      <c r="N59" s="105">
        <f>I168</f>
      </c>
      <c r="O59" s="51">
        <f>SUM(C59:N59)</f>
      </c>
      <c r="P59" s="105">
        <f>I170</f>
      </c>
      <c r="Q59" s="105">
        <f>I171</f>
      </c>
      <c r="R59" s="105">
        <f>I172</f>
      </c>
      <c r="S59" s="105">
        <f>I173</f>
      </c>
      <c r="T59" s="105">
        <f>I174</f>
      </c>
      <c r="U59" s="105">
        <f>I175</f>
      </c>
      <c r="V59" s="105">
        <f>I176</f>
      </c>
      <c r="W59" s="105">
        <f>I177</f>
      </c>
      <c r="X59" s="105">
        <f>I178</f>
      </c>
      <c r="Y59" s="105">
        <f>I179</f>
      </c>
      <c r="Z59" s="105">
        <f>I180</f>
      </c>
      <c r="AA59" s="105">
        <f>I181</f>
      </c>
      <c r="AB59" s="51">
        <f>SUM(P59:AA59)</f>
      </c>
      <c r="AC59" s="105">
        <f>I183</f>
      </c>
      <c r="AD59" s="105">
        <f>I184</f>
      </c>
      <c r="AE59" s="105">
        <f>I185</f>
      </c>
      <c r="AF59" s="105">
        <f>I186</f>
      </c>
      <c r="AG59" s="105">
        <f>I187</f>
      </c>
      <c r="AH59" s="105">
        <f>I188</f>
      </c>
      <c r="AI59" s="105">
        <f>I189</f>
      </c>
      <c r="AJ59" s="105">
        <f>I190</f>
      </c>
      <c r="AK59" s="105">
        <f>I191</f>
      </c>
      <c r="AL59" s="105">
        <f>I192</f>
      </c>
      <c r="AM59" s="105">
        <f>I193</f>
      </c>
      <c r="AN59" s="105">
        <f>I194</f>
      </c>
      <c r="AO59" s="59">
        <f>SUM(AC59:AN59)</f>
      </c>
    </row>
    <row r="60" spans="2:41" x14ac:dyDescent="0.25">
      <c r="B60" s="89" t="s">
        <v>409</v>
      </c>
      <c r="C60" s="106">
        <f>I286</f>
      </c>
      <c r="D60" s="106">
        <f>I287</f>
      </c>
      <c r="E60" s="106">
        <f>I288</f>
      </c>
      <c r="F60" s="106">
        <f>I289</f>
      </c>
      <c r="G60" s="106">
        <f>I290</f>
      </c>
      <c r="H60" s="106">
        <f>I291</f>
      </c>
      <c r="I60" s="106">
        <f>I292</f>
      </c>
      <c r="J60" s="106">
        <f>I293</f>
      </c>
      <c r="K60" s="106">
        <f>I294</f>
      </c>
      <c r="L60" s="106">
        <f>I295</f>
      </c>
      <c r="M60" s="106">
        <f>I296</f>
      </c>
      <c r="N60" s="106">
        <f>I297</f>
      </c>
      <c r="O60" s="90">
        <f>N60</f>
      </c>
      <c r="P60" s="106">
        <f>I299</f>
      </c>
      <c r="Q60" s="106">
        <f>I300</f>
      </c>
      <c r="R60" s="106">
        <f>I301</f>
      </c>
      <c r="S60" s="106">
        <f>I302</f>
      </c>
      <c r="T60" s="106">
        <f>I303</f>
      </c>
      <c r="U60" s="106">
        <f>I304</f>
      </c>
      <c r="V60" s="106">
        <f>I305</f>
      </c>
      <c r="W60" s="106">
        <f>I306</f>
      </c>
      <c r="X60" s="106">
        <f>I307</f>
      </c>
      <c r="Y60" s="106">
        <f>I308</f>
      </c>
      <c r="Z60" s="106">
        <f>I309</f>
      </c>
      <c r="AA60" s="106">
        <f>I310</f>
      </c>
      <c r="AB60" s="90">
        <f>AA60</f>
      </c>
      <c r="AC60" s="106">
        <f>I312</f>
      </c>
      <c r="AD60" s="106">
        <f>I313</f>
      </c>
      <c r="AE60" s="106">
        <f>I314</f>
      </c>
      <c r="AF60" s="106">
        <f>I315</f>
      </c>
      <c r="AG60" s="106">
        <f>I316</f>
      </c>
      <c r="AH60" s="106">
        <f>I317</f>
      </c>
      <c r="AI60" s="106">
        <f>I318</f>
      </c>
      <c r="AJ60" s="106">
        <f>I319</f>
      </c>
      <c r="AK60" s="106">
        <f>I320</f>
      </c>
      <c r="AL60" s="106">
        <f>I321</f>
      </c>
      <c r="AM60" s="106">
        <f>I322</f>
      </c>
      <c r="AN60" s="106">
        <f>I323</f>
      </c>
      <c r="AO60" s="91">
        <f>AN60</f>
      </c>
    </row>
    <row r="63" ht="20" customHeight="1" spans="2:41" x14ac:dyDescent="0.25">
      <c r="B63" s="92" t="s">
        <v>416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</row>
    <row r="64" ht="18" customHeight="1" spans="2:41" x14ac:dyDescent="0.25">
      <c r="B64" s="94" t="s">
        <v>199</v>
      </c>
      <c r="C64" s="95" t="s">
        <v>220</v>
      </c>
      <c r="D64" s="95" t="s">
        <v>221</v>
      </c>
      <c r="E64" s="95" t="s">
        <v>222</v>
      </c>
      <c r="F64" s="95" t="s">
        <v>223</v>
      </c>
      <c r="G64" s="95" t="s">
        <v>224</v>
      </c>
      <c r="H64" s="95" t="s">
        <v>225</v>
      </c>
      <c r="I64" s="95" t="s">
        <v>226</v>
      </c>
      <c r="J64" s="95" t="s">
        <v>227</v>
      </c>
      <c r="K64" s="95" t="s">
        <v>228</v>
      </c>
      <c r="L64" s="95" t="s">
        <v>229</v>
      </c>
      <c r="M64" s="95" t="s">
        <v>230</v>
      </c>
      <c r="N64" s="95" t="s">
        <v>231</v>
      </c>
      <c r="O64" s="96" t="s">
        <v>232</v>
      </c>
      <c r="P64" s="95" t="s">
        <v>233</v>
      </c>
      <c r="Q64" s="95" t="s">
        <v>234</v>
      </c>
      <c r="R64" s="95" t="s">
        <v>235</v>
      </c>
      <c r="S64" s="95" t="s">
        <v>236</v>
      </c>
      <c r="T64" s="95" t="s">
        <v>237</v>
      </c>
      <c r="U64" s="95" t="s">
        <v>238</v>
      </c>
      <c r="V64" s="95" t="s">
        <v>239</v>
      </c>
      <c r="W64" s="95" t="s">
        <v>240</v>
      </c>
      <c r="X64" s="95" t="s">
        <v>241</v>
      </c>
      <c r="Y64" s="95" t="s">
        <v>242</v>
      </c>
      <c r="Z64" s="95" t="s">
        <v>243</v>
      </c>
      <c r="AA64" s="95" t="s">
        <v>244</v>
      </c>
      <c r="AB64" s="96" t="s">
        <v>245</v>
      </c>
      <c r="AC64" s="95" t="s">
        <v>246</v>
      </c>
      <c r="AD64" s="95" t="s">
        <v>247</v>
      </c>
      <c r="AE64" s="95" t="s">
        <v>248</v>
      </c>
      <c r="AF64" s="95" t="s">
        <v>249</v>
      </c>
      <c r="AG64" s="95" t="s">
        <v>250</v>
      </c>
      <c r="AH64" s="95" t="s">
        <v>251</v>
      </c>
      <c r="AI64" s="95" t="s">
        <v>252</v>
      </c>
      <c r="AJ64" s="95" t="s">
        <v>253</v>
      </c>
      <c r="AK64" s="95" t="s">
        <v>254</v>
      </c>
      <c r="AL64" s="95" t="s">
        <v>255</v>
      </c>
      <c r="AM64" s="95" t="s">
        <v>256</v>
      </c>
      <c r="AN64" s="95" t="s">
        <v>257</v>
      </c>
      <c r="AO64" s="97" t="s">
        <v>258</v>
      </c>
    </row>
    <row r="65" ht="14" customHeight="1" spans="2:41" x14ac:dyDescent="0.25">
      <c r="B65" s="98" t="s">
        <v>417</v>
      </c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100"/>
    </row>
    <row r="66" spans="2:41" x14ac:dyDescent="0.25">
      <c r="B66" s="88" t="s">
        <v>406</v>
      </c>
      <c r="C66" s="51">
        <f>0</f>
      </c>
      <c r="D66" s="51">
        <f>C70</f>
      </c>
      <c r="E66" s="51">
        <f>D70</f>
      </c>
      <c r="F66" s="51">
        <f>E70</f>
      </c>
      <c r="G66" s="51">
        <f>F70</f>
      </c>
      <c r="H66" s="51">
        <f>G70</f>
      </c>
      <c r="I66" s="51">
        <f>H70</f>
      </c>
      <c r="J66" s="51">
        <f>I70</f>
      </c>
      <c r="K66" s="51">
        <f>J70</f>
      </c>
      <c r="L66" s="51">
        <f>K70</f>
      </c>
      <c r="M66" s="51">
        <f>L70</f>
      </c>
      <c r="N66" s="51">
        <f>M70</f>
      </c>
      <c r="O66" s="51">
        <f>C66</f>
      </c>
      <c r="P66" s="51">
        <f>N70</f>
      </c>
      <c r="Q66" s="51">
        <f>P70</f>
      </c>
      <c r="R66" s="51">
        <f>Q70</f>
      </c>
      <c r="S66" s="51">
        <f>R70</f>
      </c>
      <c r="T66" s="51">
        <f>S70</f>
      </c>
      <c r="U66" s="51">
        <f>T70</f>
      </c>
      <c r="V66" s="51">
        <f>U70</f>
      </c>
      <c r="W66" s="51">
        <f>V70</f>
      </c>
      <c r="X66" s="51">
        <f>W70</f>
      </c>
      <c r="Y66" s="51">
        <f>X70</f>
      </c>
      <c r="Z66" s="51">
        <f>Y70</f>
      </c>
      <c r="AA66" s="51">
        <f>Z70</f>
      </c>
      <c r="AB66" s="51">
        <f>P66</f>
      </c>
      <c r="AC66" s="51">
        <f>AA70</f>
      </c>
      <c r="AD66" s="51">
        <f>AC70</f>
      </c>
      <c r="AE66" s="51">
        <f>AD70</f>
      </c>
      <c r="AF66" s="51">
        <f>AE70</f>
      </c>
      <c r="AG66" s="51">
        <f>AF70</f>
      </c>
      <c r="AH66" s="51">
        <f>AG70</f>
      </c>
      <c r="AI66" s="51">
        <f>AH70</f>
      </c>
      <c r="AJ66" s="51">
        <f>AI70</f>
      </c>
      <c r="AK66" s="51">
        <f>AJ70</f>
      </c>
      <c r="AL66" s="51">
        <f>AK70</f>
      </c>
      <c r="AM66" s="51">
        <f>AL70</f>
      </c>
      <c r="AN66" s="51">
        <f>AM70</f>
      </c>
      <c r="AO66" s="59">
        <f>AC66</f>
      </c>
    </row>
    <row r="67" spans="2:41" x14ac:dyDescent="0.25">
      <c r="B67" s="101" t="s">
        <v>418</v>
      </c>
      <c r="C67" s="102">
        <f>J243</f>
      </c>
      <c r="D67" s="102">
        <f>J244</f>
      </c>
      <c r="E67" s="102">
        <f>J245</f>
      </c>
      <c r="F67" s="102">
        <f>J246</f>
      </c>
      <c r="G67" s="102">
        <f>J247</f>
      </c>
      <c r="H67" s="102">
        <f>J248</f>
      </c>
      <c r="I67" s="102">
        <f>J249</f>
      </c>
      <c r="J67" s="102">
        <f>J250</f>
      </c>
      <c r="K67" s="102">
        <f>J251</f>
      </c>
      <c r="L67" s="102">
        <f>J252</f>
      </c>
      <c r="M67" s="102">
        <f>J253</f>
      </c>
      <c r="N67" s="102">
        <f>J254</f>
      </c>
      <c r="O67" s="103">
        <f>SUM(C67:N67)</f>
      </c>
      <c r="P67" s="102">
        <f>J256</f>
      </c>
      <c r="Q67" s="102">
        <f>J257</f>
      </c>
      <c r="R67" s="102">
        <f>J258</f>
      </c>
      <c r="S67" s="102">
        <f>J259</f>
      </c>
      <c r="T67" s="102">
        <f>J260</f>
      </c>
      <c r="U67" s="102">
        <f>J261</f>
      </c>
      <c r="V67" s="102">
        <f>J262</f>
      </c>
      <c r="W67" s="102">
        <f>J263</f>
      </c>
      <c r="X67" s="102">
        <f>J264</f>
      </c>
      <c r="Y67" s="102">
        <f>J265</f>
      </c>
      <c r="Z67" s="102">
        <f>J266</f>
      </c>
      <c r="AA67" s="102">
        <f>J267</f>
      </c>
      <c r="AB67" s="103">
        <f>SUM(P67:AA67)</f>
      </c>
      <c r="AC67" s="102">
        <f>J269</f>
      </c>
      <c r="AD67" s="102">
        <f>J270</f>
      </c>
      <c r="AE67" s="102">
        <f>J271</f>
      </c>
      <c r="AF67" s="102">
        <f>J272</f>
      </c>
      <c r="AG67" s="102">
        <f>J273</f>
      </c>
      <c r="AH67" s="102">
        <f>J274</f>
      </c>
      <c r="AI67" s="102">
        <f>J275</f>
      </c>
      <c r="AJ67" s="102">
        <f>J276</f>
      </c>
      <c r="AK67" s="102">
        <f>J277</f>
      </c>
      <c r="AL67" s="102">
        <f>J278</f>
      </c>
      <c r="AM67" s="102">
        <f>J279</f>
      </c>
      <c r="AN67" s="102">
        <f>J280</f>
      </c>
      <c r="AO67" s="104">
        <f>SUM(AC67:AN67)</f>
      </c>
    </row>
    <row r="68" spans="2:41" x14ac:dyDescent="0.25">
      <c r="B68" s="88" t="s">
        <v>407</v>
      </c>
      <c r="C68" s="105">
        <f>J114</f>
      </c>
      <c r="D68" s="105">
        <f>J115</f>
      </c>
      <c r="E68" s="105">
        <f>J116</f>
      </c>
      <c r="F68" s="105">
        <f>J117</f>
      </c>
      <c r="G68" s="105">
        <f>J118</f>
      </c>
      <c r="H68" s="105">
        <f>J119</f>
      </c>
      <c r="I68" s="105">
        <f>J120</f>
      </c>
      <c r="J68" s="105">
        <f>J121</f>
      </c>
      <c r="K68" s="105">
        <f>J122</f>
      </c>
      <c r="L68" s="105">
        <f>J123</f>
      </c>
      <c r="M68" s="105">
        <f>J124</f>
      </c>
      <c r="N68" s="105">
        <f>J125</f>
      </c>
      <c r="O68" s="51">
        <f>SUM(C68:N68)</f>
      </c>
      <c r="P68" s="105">
        <f>J127</f>
      </c>
      <c r="Q68" s="105">
        <f>J128</f>
      </c>
      <c r="R68" s="105">
        <f>J129</f>
      </c>
      <c r="S68" s="105">
        <f>J130</f>
      </c>
      <c r="T68" s="105">
        <f>J131</f>
      </c>
      <c r="U68" s="105">
        <f>J132</f>
      </c>
      <c r="V68" s="105">
        <f>J133</f>
      </c>
      <c r="W68" s="105">
        <f>J134</f>
      </c>
      <c r="X68" s="105">
        <f>J135</f>
      </c>
      <c r="Y68" s="105">
        <f>J136</f>
      </c>
      <c r="Z68" s="105">
        <f>J137</f>
      </c>
      <c r="AA68" s="105">
        <f>J138</f>
      </c>
      <c r="AB68" s="51">
        <f>SUM(P68:AA68)</f>
      </c>
      <c r="AC68" s="105">
        <f>J140</f>
      </c>
      <c r="AD68" s="105">
        <f>J141</f>
      </c>
      <c r="AE68" s="105">
        <f>J142</f>
      </c>
      <c r="AF68" s="105">
        <f>J143</f>
      </c>
      <c r="AG68" s="105">
        <f>J144</f>
      </c>
      <c r="AH68" s="105">
        <f>J145</f>
      </c>
      <c r="AI68" s="105">
        <f>J146</f>
      </c>
      <c r="AJ68" s="105">
        <f>J147</f>
      </c>
      <c r="AK68" s="105">
        <f>J148</f>
      </c>
      <c r="AL68" s="105">
        <f>J149</f>
      </c>
      <c r="AM68" s="105">
        <f>J150</f>
      </c>
      <c r="AN68" s="105">
        <f>J151</f>
      </c>
      <c r="AO68" s="59">
        <f>SUM(AC68:AN68)</f>
      </c>
    </row>
    <row r="69" spans="2:41" x14ac:dyDescent="0.25">
      <c r="B69" s="88" t="s">
        <v>408</v>
      </c>
      <c r="C69" s="105">
        <f>J200</f>
      </c>
      <c r="D69" s="105">
        <f>J201</f>
      </c>
      <c r="E69" s="105">
        <f>J202</f>
      </c>
      <c r="F69" s="105">
        <f>J203</f>
      </c>
      <c r="G69" s="105">
        <f>J204</f>
      </c>
      <c r="H69" s="105">
        <f>J205</f>
      </c>
      <c r="I69" s="105">
        <f>J206</f>
      </c>
      <c r="J69" s="105">
        <f>J207</f>
      </c>
      <c r="K69" s="105">
        <f>J208</f>
      </c>
      <c r="L69" s="105">
        <f>J209</f>
      </c>
      <c r="M69" s="105">
        <f>J210</f>
      </c>
      <c r="N69" s="105">
        <f>J211</f>
      </c>
      <c r="O69" s="51">
        <f>SUM(C69:N69)</f>
      </c>
      <c r="P69" s="105">
        <f>J213</f>
      </c>
      <c r="Q69" s="105">
        <f>J214</f>
      </c>
      <c r="R69" s="105">
        <f>J215</f>
      </c>
      <c r="S69" s="105">
        <f>J216</f>
      </c>
      <c r="T69" s="105">
        <f>J217</f>
      </c>
      <c r="U69" s="105">
        <f>J218</f>
      </c>
      <c r="V69" s="105">
        <f>J219</f>
      </c>
      <c r="W69" s="105">
        <f>J220</f>
      </c>
      <c r="X69" s="105">
        <f>J221</f>
      </c>
      <c r="Y69" s="105">
        <f>J222</f>
      </c>
      <c r="Z69" s="105">
        <f>J223</f>
      </c>
      <c r="AA69" s="105">
        <f>J224</f>
      </c>
      <c r="AB69" s="51">
        <f>SUM(P69:AA69)</f>
      </c>
      <c r="AC69" s="105">
        <f>J226</f>
      </c>
      <c r="AD69" s="105">
        <f>J227</f>
      </c>
      <c r="AE69" s="105">
        <f>J228</f>
      </c>
      <c r="AF69" s="105">
        <f>J229</f>
      </c>
      <c r="AG69" s="105">
        <f>J230</f>
      </c>
      <c r="AH69" s="105">
        <f>J231</f>
      </c>
      <c r="AI69" s="105">
        <f>J232</f>
      </c>
      <c r="AJ69" s="105">
        <f>J233</f>
      </c>
      <c r="AK69" s="105">
        <f>J234</f>
      </c>
      <c r="AL69" s="105">
        <f>J235</f>
      </c>
      <c r="AM69" s="105">
        <f>J236</f>
      </c>
      <c r="AN69" s="105">
        <f>J237</f>
      </c>
      <c r="AO69" s="59">
        <f>SUM(AC69:AN69)</f>
      </c>
    </row>
    <row r="70" spans="2:41" x14ac:dyDescent="0.25">
      <c r="B70" s="89" t="s">
        <v>409</v>
      </c>
      <c r="C70" s="106">
        <f>J286</f>
      </c>
      <c r="D70" s="106">
        <f>J287</f>
      </c>
      <c r="E70" s="106">
        <f>J288</f>
      </c>
      <c r="F70" s="106">
        <f>J289</f>
      </c>
      <c r="G70" s="106">
        <f>J290</f>
      </c>
      <c r="H70" s="106">
        <f>J291</f>
      </c>
      <c r="I70" s="106">
        <f>J292</f>
      </c>
      <c r="J70" s="106">
        <f>J293</f>
      </c>
      <c r="K70" s="106">
        <f>J294</f>
      </c>
      <c r="L70" s="106">
        <f>J295</f>
      </c>
      <c r="M70" s="106">
        <f>J296</f>
      </c>
      <c r="N70" s="106">
        <f>J297</f>
      </c>
      <c r="O70" s="90">
        <f>N70</f>
      </c>
      <c r="P70" s="106">
        <f>J299</f>
      </c>
      <c r="Q70" s="106">
        <f>J300</f>
      </c>
      <c r="R70" s="106">
        <f>J301</f>
      </c>
      <c r="S70" s="106">
        <f>J302</f>
      </c>
      <c r="T70" s="106">
        <f>J303</f>
      </c>
      <c r="U70" s="106">
        <f>J304</f>
      </c>
      <c r="V70" s="106">
        <f>J305</f>
      </c>
      <c r="W70" s="106">
        <f>J306</f>
      </c>
      <c r="X70" s="106">
        <f>J307</f>
      </c>
      <c r="Y70" s="106">
        <f>J308</f>
      </c>
      <c r="Z70" s="106">
        <f>J309</f>
      </c>
      <c r="AA70" s="106">
        <f>J310</f>
      </c>
      <c r="AB70" s="90">
        <f>AA70</f>
      </c>
      <c r="AC70" s="106">
        <f>J312</f>
      </c>
      <c r="AD70" s="106">
        <f>J313</f>
      </c>
      <c r="AE70" s="106">
        <f>J314</f>
      </c>
      <c r="AF70" s="106">
        <f>J315</f>
      </c>
      <c r="AG70" s="106">
        <f>J316</f>
      </c>
      <c r="AH70" s="106">
        <f>J317</f>
      </c>
      <c r="AI70" s="106">
        <f>J318</f>
      </c>
      <c r="AJ70" s="106">
        <f>J319</f>
      </c>
      <c r="AK70" s="106">
        <f>J320</f>
      </c>
      <c r="AL70" s="106">
        <f>J321</f>
      </c>
      <c r="AM70" s="106">
        <f>J322</f>
      </c>
      <c r="AN70" s="106">
        <f>J323</f>
      </c>
      <c r="AO70" s="91">
        <f>AN70</f>
      </c>
    </row>
    <row r="72" ht="18" customHeight="1" spans="2:41" x14ac:dyDescent="0.25">
      <c r="B72" s="94" t="s">
        <v>200</v>
      </c>
      <c r="C72" s="95" t="s">
        <v>220</v>
      </c>
      <c r="D72" s="95" t="s">
        <v>221</v>
      </c>
      <c r="E72" s="95" t="s">
        <v>222</v>
      </c>
      <c r="F72" s="95" t="s">
        <v>223</v>
      </c>
      <c r="G72" s="95" t="s">
        <v>224</v>
      </c>
      <c r="H72" s="95" t="s">
        <v>225</v>
      </c>
      <c r="I72" s="95" t="s">
        <v>226</v>
      </c>
      <c r="J72" s="95" t="s">
        <v>227</v>
      </c>
      <c r="K72" s="95" t="s">
        <v>228</v>
      </c>
      <c r="L72" s="95" t="s">
        <v>229</v>
      </c>
      <c r="M72" s="95" t="s">
        <v>230</v>
      </c>
      <c r="N72" s="95" t="s">
        <v>231</v>
      </c>
      <c r="O72" s="96" t="s">
        <v>232</v>
      </c>
      <c r="P72" s="95" t="s">
        <v>233</v>
      </c>
      <c r="Q72" s="95" t="s">
        <v>234</v>
      </c>
      <c r="R72" s="95" t="s">
        <v>235</v>
      </c>
      <c r="S72" s="95" t="s">
        <v>236</v>
      </c>
      <c r="T72" s="95" t="s">
        <v>237</v>
      </c>
      <c r="U72" s="95" t="s">
        <v>238</v>
      </c>
      <c r="V72" s="95" t="s">
        <v>239</v>
      </c>
      <c r="W72" s="95" t="s">
        <v>240</v>
      </c>
      <c r="X72" s="95" t="s">
        <v>241</v>
      </c>
      <c r="Y72" s="95" t="s">
        <v>242</v>
      </c>
      <c r="Z72" s="95" t="s">
        <v>243</v>
      </c>
      <c r="AA72" s="95" t="s">
        <v>244</v>
      </c>
      <c r="AB72" s="96" t="s">
        <v>245</v>
      </c>
      <c r="AC72" s="95" t="s">
        <v>246</v>
      </c>
      <c r="AD72" s="95" t="s">
        <v>247</v>
      </c>
      <c r="AE72" s="95" t="s">
        <v>248</v>
      </c>
      <c r="AF72" s="95" t="s">
        <v>249</v>
      </c>
      <c r="AG72" s="95" t="s">
        <v>250</v>
      </c>
      <c r="AH72" s="95" t="s">
        <v>251</v>
      </c>
      <c r="AI72" s="95" t="s">
        <v>252</v>
      </c>
      <c r="AJ72" s="95" t="s">
        <v>253</v>
      </c>
      <c r="AK72" s="95" t="s">
        <v>254</v>
      </c>
      <c r="AL72" s="95" t="s">
        <v>255</v>
      </c>
      <c r="AM72" s="95" t="s">
        <v>256</v>
      </c>
      <c r="AN72" s="95" t="s">
        <v>257</v>
      </c>
      <c r="AO72" s="97" t="s">
        <v>258</v>
      </c>
    </row>
    <row r="73" ht="14" customHeight="1" spans="2:41" x14ac:dyDescent="0.25">
      <c r="B73" s="98" t="s">
        <v>419</v>
      </c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100"/>
    </row>
    <row r="74" spans="2:41" x14ac:dyDescent="0.25">
      <c r="B74" s="88" t="s">
        <v>406</v>
      </c>
      <c r="C74" s="51">
        <f>0</f>
      </c>
      <c r="D74" s="51">
        <f>C78</f>
      </c>
      <c r="E74" s="51">
        <f>D78</f>
      </c>
      <c r="F74" s="51">
        <f>E78</f>
      </c>
      <c r="G74" s="51">
        <f>F78</f>
      </c>
      <c r="H74" s="51">
        <f>G78</f>
      </c>
      <c r="I74" s="51">
        <f>H78</f>
      </c>
      <c r="J74" s="51">
        <f>I78</f>
      </c>
      <c r="K74" s="51">
        <f>J78</f>
      </c>
      <c r="L74" s="51">
        <f>K78</f>
      </c>
      <c r="M74" s="51">
        <f>L78</f>
      </c>
      <c r="N74" s="51">
        <f>M78</f>
      </c>
      <c r="O74" s="51">
        <f>C74</f>
      </c>
      <c r="P74" s="51">
        <f>N78</f>
      </c>
      <c r="Q74" s="51">
        <f>P78</f>
      </c>
      <c r="R74" s="51">
        <f>Q78</f>
      </c>
      <c r="S74" s="51">
        <f>R78</f>
      </c>
      <c r="T74" s="51">
        <f>S78</f>
      </c>
      <c r="U74" s="51">
        <f>T78</f>
      </c>
      <c r="V74" s="51">
        <f>U78</f>
      </c>
      <c r="W74" s="51">
        <f>V78</f>
      </c>
      <c r="X74" s="51">
        <f>W78</f>
      </c>
      <c r="Y74" s="51">
        <f>X78</f>
      </c>
      <c r="Z74" s="51">
        <f>Y78</f>
      </c>
      <c r="AA74" s="51">
        <f>Z78</f>
      </c>
      <c r="AB74" s="51">
        <f>P74</f>
      </c>
      <c r="AC74" s="51">
        <f>AA78</f>
      </c>
      <c r="AD74" s="51">
        <f>AC78</f>
      </c>
      <c r="AE74" s="51">
        <f>AD78</f>
      </c>
      <c r="AF74" s="51">
        <f>AE78</f>
      </c>
      <c r="AG74" s="51">
        <f>AF78</f>
      </c>
      <c r="AH74" s="51">
        <f>AG78</f>
      </c>
      <c r="AI74" s="51">
        <f>AH78</f>
      </c>
      <c r="AJ74" s="51">
        <f>AI78</f>
      </c>
      <c r="AK74" s="51">
        <f>AJ78</f>
      </c>
      <c r="AL74" s="51">
        <f>AK78</f>
      </c>
      <c r="AM74" s="51">
        <f>AL78</f>
      </c>
      <c r="AN74" s="51">
        <f>AM78</f>
      </c>
      <c r="AO74" s="59">
        <f>AC74</f>
      </c>
    </row>
    <row r="75" spans="2:41" x14ac:dyDescent="0.25">
      <c r="B75" s="101" t="s">
        <v>418</v>
      </c>
      <c r="C75" s="102">
        <f>K243</f>
      </c>
      <c r="D75" s="102">
        <f>K244</f>
      </c>
      <c r="E75" s="102">
        <f>K245</f>
      </c>
      <c r="F75" s="102">
        <f>K246</f>
      </c>
      <c r="G75" s="102">
        <f>K247</f>
      </c>
      <c r="H75" s="102">
        <f>K248</f>
      </c>
      <c r="I75" s="102">
        <f>K249</f>
      </c>
      <c r="J75" s="102">
        <f>K250</f>
      </c>
      <c r="K75" s="102">
        <f>K251</f>
      </c>
      <c r="L75" s="102">
        <f>K252</f>
      </c>
      <c r="M75" s="102">
        <f>K253</f>
      </c>
      <c r="N75" s="102">
        <f>K254</f>
      </c>
      <c r="O75" s="103">
        <f>SUM(C75:N75)</f>
      </c>
      <c r="P75" s="102">
        <f>K256</f>
      </c>
      <c r="Q75" s="102">
        <f>K257</f>
      </c>
      <c r="R75" s="102">
        <f>K258</f>
      </c>
      <c r="S75" s="102">
        <f>K259</f>
      </c>
      <c r="T75" s="102">
        <f>K260</f>
      </c>
      <c r="U75" s="102">
        <f>K261</f>
      </c>
      <c r="V75" s="102">
        <f>K262</f>
      </c>
      <c r="W75" s="102">
        <f>K263</f>
      </c>
      <c r="X75" s="102">
        <f>K264</f>
      </c>
      <c r="Y75" s="102">
        <f>K265</f>
      </c>
      <c r="Z75" s="102">
        <f>K266</f>
      </c>
      <c r="AA75" s="102">
        <f>K267</f>
      </c>
      <c r="AB75" s="103">
        <f>SUM(P75:AA75)</f>
      </c>
      <c r="AC75" s="102">
        <f>K269</f>
      </c>
      <c r="AD75" s="102">
        <f>K270</f>
      </c>
      <c r="AE75" s="102">
        <f>K271</f>
      </c>
      <c r="AF75" s="102">
        <f>K272</f>
      </c>
      <c r="AG75" s="102">
        <f>K273</f>
      </c>
      <c r="AH75" s="102">
        <f>K274</f>
      </c>
      <c r="AI75" s="102">
        <f>K275</f>
      </c>
      <c r="AJ75" s="102">
        <f>K276</f>
      </c>
      <c r="AK75" s="102">
        <f>K277</f>
      </c>
      <c r="AL75" s="102">
        <f>K278</f>
      </c>
      <c r="AM75" s="102">
        <f>K279</f>
      </c>
      <c r="AN75" s="102">
        <f>K280</f>
      </c>
      <c r="AO75" s="104">
        <f>SUM(AC75:AN75)</f>
      </c>
    </row>
    <row r="76" spans="2:41" x14ac:dyDescent="0.25">
      <c r="B76" s="88" t="s">
        <v>407</v>
      </c>
      <c r="C76" s="105">
        <f>K114</f>
      </c>
      <c r="D76" s="105">
        <f>K115</f>
      </c>
      <c r="E76" s="105">
        <f>K116</f>
      </c>
      <c r="F76" s="105">
        <f>K117</f>
      </c>
      <c r="G76" s="105">
        <f>K118</f>
      </c>
      <c r="H76" s="105">
        <f>K119</f>
      </c>
      <c r="I76" s="105">
        <f>K120</f>
      </c>
      <c r="J76" s="105">
        <f>K121</f>
      </c>
      <c r="K76" s="105">
        <f>K122</f>
      </c>
      <c r="L76" s="105">
        <f>K123</f>
      </c>
      <c r="M76" s="105">
        <f>K124</f>
      </c>
      <c r="N76" s="105">
        <f>K125</f>
      </c>
      <c r="O76" s="51">
        <f>SUM(C76:N76)</f>
      </c>
      <c r="P76" s="105">
        <f>K127</f>
      </c>
      <c r="Q76" s="105">
        <f>K128</f>
      </c>
      <c r="R76" s="105">
        <f>K129</f>
      </c>
      <c r="S76" s="105">
        <f>K130</f>
      </c>
      <c r="T76" s="105">
        <f>K131</f>
      </c>
      <c r="U76" s="105">
        <f>K132</f>
      </c>
      <c r="V76" s="105">
        <f>K133</f>
      </c>
      <c r="W76" s="105">
        <f>K134</f>
      </c>
      <c r="X76" s="105">
        <f>K135</f>
      </c>
      <c r="Y76" s="105">
        <f>K136</f>
      </c>
      <c r="Z76" s="105">
        <f>K137</f>
      </c>
      <c r="AA76" s="105">
        <f>K138</f>
      </c>
      <c r="AB76" s="51">
        <f>SUM(P76:AA76)</f>
      </c>
      <c r="AC76" s="105">
        <f>K140</f>
      </c>
      <c r="AD76" s="105">
        <f>K141</f>
      </c>
      <c r="AE76" s="105">
        <f>K142</f>
      </c>
      <c r="AF76" s="105">
        <f>K143</f>
      </c>
      <c r="AG76" s="105">
        <f>K144</f>
      </c>
      <c r="AH76" s="105">
        <f>K145</f>
      </c>
      <c r="AI76" s="105">
        <f>K146</f>
      </c>
      <c r="AJ76" s="105">
        <f>K147</f>
      </c>
      <c r="AK76" s="105">
        <f>K148</f>
      </c>
      <c r="AL76" s="105">
        <f>K149</f>
      </c>
      <c r="AM76" s="105">
        <f>K150</f>
      </c>
      <c r="AN76" s="105">
        <f>K151</f>
      </c>
      <c r="AO76" s="59">
        <f>SUM(AC76:AN76)</f>
      </c>
    </row>
    <row r="77" spans="2:41" x14ac:dyDescent="0.25">
      <c r="B77" s="88" t="s">
        <v>408</v>
      </c>
      <c r="C77" s="105">
        <f>K200</f>
      </c>
      <c r="D77" s="105">
        <f>K201</f>
      </c>
      <c r="E77" s="105">
        <f>K202</f>
      </c>
      <c r="F77" s="105">
        <f>K203</f>
      </c>
      <c r="G77" s="105">
        <f>K204</f>
      </c>
      <c r="H77" s="105">
        <f>K205</f>
      </c>
      <c r="I77" s="105">
        <f>K206</f>
      </c>
      <c r="J77" s="105">
        <f>K207</f>
      </c>
      <c r="K77" s="105">
        <f>K208</f>
      </c>
      <c r="L77" s="105">
        <f>K209</f>
      </c>
      <c r="M77" s="105">
        <f>K210</f>
      </c>
      <c r="N77" s="105">
        <f>K211</f>
      </c>
      <c r="O77" s="51">
        <f>SUM(C77:N77)</f>
      </c>
      <c r="P77" s="105">
        <f>K213</f>
      </c>
      <c r="Q77" s="105">
        <f>K214</f>
      </c>
      <c r="R77" s="105">
        <f>K215</f>
      </c>
      <c r="S77" s="105">
        <f>K216</f>
      </c>
      <c r="T77" s="105">
        <f>K217</f>
      </c>
      <c r="U77" s="105">
        <f>K218</f>
      </c>
      <c r="V77" s="105">
        <f>K219</f>
      </c>
      <c r="W77" s="105">
        <f>K220</f>
      </c>
      <c r="X77" s="105">
        <f>K221</f>
      </c>
      <c r="Y77" s="105">
        <f>K222</f>
      </c>
      <c r="Z77" s="105">
        <f>K223</f>
      </c>
      <c r="AA77" s="105">
        <f>K224</f>
      </c>
      <c r="AB77" s="51">
        <f>SUM(P77:AA77)</f>
      </c>
      <c r="AC77" s="105">
        <f>K226</f>
      </c>
      <c r="AD77" s="105">
        <f>K227</f>
      </c>
      <c r="AE77" s="105">
        <f>K228</f>
      </c>
      <c r="AF77" s="105">
        <f>K229</f>
      </c>
      <c r="AG77" s="105">
        <f>K230</f>
      </c>
      <c r="AH77" s="105">
        <f>K231</f>
      </c>
      <c r="AI77" s="105">
        <f>K232</f>
      </c>
      <c r="AJ77" s="105">
        <f>K233</f>
      </c>
      <c r="AK77" s="105">
        <f>K234</f>
      </c>
      <c r="AL77" s="105">
        <f>K235</f>
      </c>
      <c r="AM77" s="105">
        <f>K236</f>
      </c>
      <c r="AN77" s="105">
        <f>K237</f>
      </c>
      <c r="AO77" s="59">
        <f>SUM(AC77:AN77)</f>
      </c>
    </row>
    <row r="78" spans="2:41" x14ac:dyDescent="0.25">
      <c r="B78" s="89" t="s">
        <v>409</v>
      </c>
      <c r="C78" s="106">
        <f>K286</f>
      </c>
      <c r="D78" s="106">
        <f>K287</f>
      </c>
      <c r="E78" s="106">
        <f>K288</f>
      </c>
      <c r="F78" s="106">
        <f>K289</f>
      </c>
      <c r="G78" s="106">
        <f>K290</f>
      </c>
      <c r="H78" s="106">
        <f>K291</f>
      </c>
      <c r="I78" s="106">
        <f>K292</f>
      </c>
      <c r="J78" s="106">
        <f>K293</f>
      </c>
      <c r="K78" s="106">
        <f>K294</f>
      </c>
      <c r="L78" s="106">
        <f>K295</f>
      </c>
      <c r="M78" s="106">
        <f>K296</f>
      </c>
      <c r="N78" s="106">
        <f>K297</f>
      </c>
      <c r="O78" s="90">
        <f>N78</f>
      </c>
      <c r="P78" s="106">
        <f>K299</f>
      </c>
      <c r="Q78" s="106">
        <f>K300</f>
      </c>
      <c r="R78" s="106">
        <f>K301</f>
      </c>
      <c r="S78" s="106">
        <f>K302</f>
      </c>
      <c r="T78" s="106">
        <f>K303</f>
      </c>
      <c r="U78" s="106">
        <f>K304</f>
      </c>
      <c r="V78" s="106">
        <f>K305</f>
      </c>
      <c r="W78" s="106">
        <f>K306</f>
      </c>
      <c r="X78" s="106">
        <f>K307</f>
      </c>
      <c r="Y78" s="106">
        <f>K308</f>
      </c>
      <c r="Z78" s="106">
        <f>K309</f>
      </c>
      <c r="AA78" s="106">
        <f>K310</f>
      </c>
      <c r="AB78" s="90">
        <f>AA78</f>
      </c>
      <c r="AC78" s="106">
        <f>K312</f>
      </c>
      <c r="AD78" s="106">
        <f>K313</f>
      </c>
      <c r="AE78" s="106">
        <f>K314</f>
      </c>
      <c r="AF78" s="106">
        <f>K315</f>
      </c>
      <c r="AG78" s="106">
        <f>K316</f>
      </c>
      <c r="AH78" s="106">
        <f>K317</f>
      </c>
      <c r="AI78" s="106">
        <f>K318</f>
      </c>
      <c r="AJ78" s="106">
        <f>K319</f>
      </c>
      <c r="AK78" s="106">
        <f>K320</f>
      </c>
      <c r="AL78" s="106">
        <f>K321</f>
      </c>
      <c r="AM78" s="106">
        <f>K322</f>
      </c>
      <c r="AN78" s="106">
        <f>K323</f>
      </c>
      <c r="AO78" s="91">
        <f>AN78</f>
      </c>
    </row>
    <row r="80" ht="18" customHeight="1" spans="2:41" x14ac:dyDescent="0.25">
      <c r="B80" s="94" t="s">
        <v>201</v>
      </c>
      <c r="C80" s="95" t="s">
        <v>220</v>
      </c>
      <c r="D80" s="95" t="s">
        <v>221</v>
      </c>
      <c r="E80" s="95" t="s">
        <v>222</v>
      </c>
      <c r="F80" s="95" t="s">
        <v>223</v>
      </c>
      <c r="G80" s="95" t="s">
        <v>224</v>
      </c>
      <c r="H80" s="95" t="s">
        <v>225</v>
      </c>
      <c r="I80" s="95" t="s">
        <v>226</v>
      </c>
      <c r="J80" s="95" t="s">
        <v>227</v>
      </c>
      <c r="K80" s="95" t="s">
        <v>228</v>
      </c>
      <c r="L80" s="95" t="s">
        <v>229</v>
      </c>
      <c r="M80" s="95" t="s">
        <v>230</v>
      </c>
      <c r="N80" s="95" t="s">
        <v>231</v>
      </c>
      <c r="O80" s="96" t="s">
        <v>232</v>
      </c>
      <c r="P80" s="95" t="s">
        <v>233</v>
      </c>
      <c r="Q80" s="95" t="s">
        <v>234</v>
      </c>
      <c r="R80" s="95" t="s">
        <v>235</v>
      </c>
      <c r="S80" s="95" t="s">
        <v>236</v>
      </c>
      <c r="T80" s="95" t="s">
        <v>237</v>
      </c>
      <c r="U80" s="95" t="s">
        <v>238</v>
      </c>
      <c r="V80" s="95" t="s">
        <v>239</v>
      </c>
      <c r="W80" s="95" t="s">
        <v>240</v>
      </c>
      <c r="X80" s="95" t="s">
        <v>241</v>
      </c>
      <c r="Y80" s="95" t="s">
        <v>242</v>
      </c>
      <c r="Z80" s="95" t="s">
        <v>243</v>
      </c>
      <c r="AA80" s="95" t="s">
        <v>244</v>
      </c>
      <c r="AB80" s="96" t="s">
        <v>245</v>
      </c>
      <c r="AC80" s="95" t="s">
        <v>246</v>
      </c>
      <c r="AD80" s="95" t="s">
        <v>247</v>
      </c>
      <c r="AE80" s="95" t="s">
        <v>248</v>
      </c>
      <c r="AF80" s="95" t="s">
        <v>249</v>
      </c>
      <c r="AG80" s="95" t="s">
        <v>250</v>
      </c>
      <c r="AH80" s="95" t="s">
        <v>251</v>
      </c>
      <c r="AI80" s="95" t="s">
        <v>252</v>
      </c>
      <c r="AJ80" s="95" t="s">
        <v>253</v>
      </c>
      <c r="AK80" s="95" t="s">
        <v>254</v>
      </c>
      <c r="AL80" s="95" t="s">
        <v>255</v>
      </c>
      <c r="AM80" s="95" t="s">
        <v>256</v>
      </c>
      <c r="AN80" s="95" t="s">
        <v>257</v>
      </c>
      <c r="AO80" s="97" t="s">
        <v>258</v>
      </c>
    </row>
    <row r="81" ht="14" customHeight="1" spans="2:41" x14ac:dyDescent="0.25">
      <c r="B81" s="98" t="s">
        <v>420</v>
      </c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100"/>
    </row>
    <row r="82" spans="2:41" x14ac:dyDescent="0.25">
      <c r="B82" s="88" t="s">
        <v>406</v>
      </c>
      <c r="C82" s="51">
        <f>0</f>
      </c>
      <c r="D82" s="51">
        <f>C86</f>
      </c>
      <c r="E82" s="51">
        <f>D86</f>
      </c>
      <c r="F82" s="51">
        <f>E86</f>
      </c>
      <c r="G82" s="51">
        <f>F86</f>
      </c>
      <c r="H82" s="51">
        <f>G86</f>
      </c>
      <c r="I82" s="51">
        <f>H86</f>
      </c>
      <c r="J82" s="51">
        <f>I86</f>
      </c>
      <c r="K82" s="51">
        <f>J86</f>
      </c>
      <c r="L82" s="51">
        <f>K86</f>
      </c>
      <c r="M82" s="51">
        <f>L86</f>
      </c>
      <c r="N82" s="51">
        <f>M86</f>
      </c>
      <c r="O82" s="51">
        <f>C82</f>
      </c>
      <c r="P82" s="51">
        <f>N86</f>
      </c>
      <c r="Q82" s="51">
        <f>P86</f>
      </c>
      <c r="R82" s="51">
        <f>Q86</f>
      </c>
      <c r="S82" s="51">
        <f>R86</f>
      </c>
      <c r="T82" s="51">
        <f>S86</f>
      </c>
      <c r="U82" s="51">
        <f>T86</f>
      </c>
      <c r="V82" s="51">
        <f>U86</f>
      </c>
      <c r="W82" s="51">
        <f>V86</f>
      </c>
      <c r="X82" s="51">
        <f>W86</f>
      </c>
      <c r="Y82" s="51">
        <f>X86</f>
      </c>
      <c r="Z82" s="51">
        <f>Y86</f>
      </c>
      <c r="AA82" s="51">
        <f>Z86</f>
      </c>
      <c r="AB82" s="51">
        <f>P82</f>
      </c>
      <c r="AC82" s="51">
        <f>AA86</f>
      </c>
      <c r="AD82" s="51">
        <f>AC86</f>
      </c>
      <c r="AE82" s="51">
        <f>AD86</f>
      </c>
      <c r="AF82" s="51">
        <f>AE86</f>
      </c>
      <c r="AG82" s="51">
        <f>AF86</f>
      </c>
      <c r="AH82" s="51">
        <f>AG86</f>
      </c>
      <c r="AI82" s="51">
        <f>AH86</f>
      </c>
      <c r="AJ82" s="51">
        <f>AI86</f>
      </c>
      <c r="AK82" s="51">
        <f>AJ86</f>
      </c>
      <c r="AL82" s="51">
        <f>AK86</f>
      </c>
      <c r="AM82" s="51">
        <f>AL86</f>
      </c>
      <c r="AN82" s="51">
        <f>AM86</f>
      </c>
      <c r="AO82" s="59">
        <f>AC82</f>
      </c>
    </row>
    <row r="83" spans="2:41" x14ac:dyDescent="0.25">
      <c r="B83" s="101" t="s">
        <v>418</v>
      </c>
      <c r="C83" s="102">
        <f>L243</f>
      </c>
      <c r="D83" s="102">
        <f>L244</f>
      </c>
      <c r="E83" s="102">
        <f>L245</f>
      </c>
      <c r="F83" s="102">
        <f>L246</f>
      </c>
      <c r="G83" s="102">
        <f>L247</f>
      </c>
      <c r="H83" s="102">
        <f>L248</f>
      </c>
      <c r="I83" s="102">
        <f>L249</f>
      </c>
      <c r="J83" s="102">
        <f>L250</f>
      </c>
      <c r="K83" s="102">
        <f>L251</f>
      </c>
      <c r="L83" s="102">
        <f>L252</f>
      </c>
      <c r="M83" s="102">
        <f>L253</f>
      </c>
      <c r="N83" s="102">
        <f>L254</f>
      </c>
      <c r="O83" s="103">
        <f>SUM(C83:N83)</f>
      </c>
      <c r="P83" s="102">
        <f>L256</f>
      </c>
      <c r="Q83" s="102">
        <f>L257</f>
      </c>
      <c r="R83" s="102">
        <f>L258</f>
      </c>
      <c r="S83" s="102">
        <f>L259</f>
      </c>
      <c r="T83" s="102">
        <f>L260</f>
      </c>
      <c r="U83" s="102">
        <f>L261</f>
      </c>
      <c r="V83" s="102">
        <f>L262</f>
      </c>
      <c r="W83" s="102">
        <f>L263</f>
      </c>
      <c r="X83" s="102">
        <f>L264</f>
      </c>
      <c r="Y83" s="102">
        <f>L265</f>
      </c>
      <c r="Z83" s="102">
        <f>L266</f>
      </c>
      <c r="AA83" s="102">
        <f>L267</f>
      </c>
      <c r="AB83" s="103">
        <f>SUM(P83:AA83)</f>
      </c>
      <c r="AC83" s="102">
        <f>L269</f>
      </c>
      <c r="AD83" s="102">
        <f>L270</f>
      </c>
      <c r="AE83" s="102">
        <f>L271</f>
      </c>
      <c r="AF83" s="102">
        <f>L272</f>
      </c>
      <c r="AG83" s="102">
        <f>L273</f>
      </c>
      <c r="AH83" s="102">
        <f>L274</f>
      </c>
      <c r="AI83" s="102">
        <f>L275</f>
      </c>
      <c r="AJ83" s="102">
        <f>L276</f>
      </c>
      <c r="AK83" s="102">
        <f>L277</f>
      </c>
      <c r="AL83" s="102">
        <f>L278</f>
      </c>
      <c r="AM83" s="102">
        <f>L279</f>
      </c>
      <c r="AN83" s="102">
        <f>L280</f>
      </c>
      <c r="AO83" s="104">
        <f>SUM(AC83:AN83)</f>
      </c>
    </row>
    <row r="84" spans="2:41" x14ac:dyDescent="0.25">
      <c r="B84" s="88" t="s">
        <v>407</v>
      </c>
      <c r="C84" s="105">
        <f>L114</f>
      </c>
      <c r="D84" s="105">
        <f>L115</f>
      </c>
      <c r="E84" s="105">
        <f>L116</f>
      </c>
      <c r="F84" s="105">
        <f>L117</f>
      </c>
      <c r="G84" s="105">
        <f>L118</f>
      </c>
      <c r="H84" s="105">
        <f>L119</f>
      </c>
      <c r="I84" s="105">
        <f>L120</f>
      </c>
      <c r="J84" s="105">
        <f>L121</f>
      </c>
      <c r="K84" s="105">
        <f>L122</f>
      </c>
      <c r="L84" s="105">
        <f>L123</f>
      </c>
      <c r="M84" s="105">
        <f>L124</f>
      </c>
      <c r="N84" s="105">
        <f>L125</f>
      </c>
      <c r="O84" s="51">
        <f>SUM(C84:N84)</f>
      </c>
      <c r="P84" s="105">
        <f>L127</f>
      </c>
      <c r="Q84" s="105">
        <f>L128</f>
      </c>
      <c r="R84" s="105">
        <f>L129</f>
      </c>
      <c r="S84" s="105">
        <f>L130</f>
      </c>
      <c r="T84" s="105">
        <f>L131</f>
      </c>
      <c r="U84" s="105">
        <f>L132</f>
      </c>
      <c r="V84" s="105">
        <f>L133</f>
      </c>
      <c r="W84" s="105">
        <f>L134</f>
      </c>
      <c r="X84" s="105">
        <f>L135</f>
      </c>
      <c r="Y84" s="105">
        <f>L136</f>
      </c>
      <c r="Z84" s="105">
        <f>L137</f>
      </c>
      <c r="AA84" s="105">
        <f>L138</f>
      </c>
      <c r="AB84" s="51">
        <f>SUM(P84:AA84)</f>
      </c>
      <c r="AC84" s="105">
        <f>L140</f>
      </c>
      <c r="AD84" s="105">
        <f>L141</f>
      </c>
      <c r="AE84" s="105">
        <f>L142</f>
      </c>
      <c r="AF84" s="105">
        <f>L143</f>
      </c>
      <c r="AG84" s="105">
        <f>L144</f>
      </c>
      <c r="AH84" s="105">
        <f>L145</f>
      </c>
      <c r="AI84" s="105">
        <f>L146</f>
      </c>
      <c r="AJ84" s="105">
        <f>L147</f>
      </c>
      <c r="AK84" s="105">
        <f>L148</f>
      </c>
      <c r="AL84" s="105">
        <f>L149</f>
      </c>
      <c r="AM84" s="105">
        <f>L150</f>
      </c>
      <c r="AN84" s="105">
        <f>L151</f>
      </c>
      <c r="AO84" s="59">
        <f>SUM(AC84:AN84)</f>
      </c>
    </row>
    <row r="85" spans="2:41" x14ac:dyDescent="0.25">
      <c r="B85" s="88" t="s">
        <v>408</v>
      </c>
      <c r="C85" s="105">
        <f>L200</f>
      </c>
      <c r="D85" s="105">
        <f>L201</f>
      </c>
      <c r="E85" s="105">
        <f>L202</f>
      </c>
      <c r="F85" s="105">
        <f>L203</f>
      </c>
      <c r="G85" s="105">
        <f>L204</f>
      </c>
      <c r="H85" s="105">
        <f>L205</f>
      </c>
      <c r="I85" s="105">
        <f>L206</f>
      </c>
      <c r="J85" s="105">
        <f>L207</f>
      </c>
      <c r="K85" s="105">
        <f>L208</f>
      </c>
      <c r="L85" s="105">
        <f>L209</f>
      </c>
      <c r="M85" s="105">
        <f>L210</f>
      </c>
      <c r="N85" s="105">
        <f>L211</f>
      </c>
      <c r="O85" s="51">
        <f>SUM(C85:N85)</f>
      </c>
      <c r="P85" s="105">
        <f>L213</f>
      </c>
      <c r="Q85" s="105">
        <f>L214</f>
      </c>
      <c r="R85" s="105">
        <f>L215</f>
      </c>
      <c r="S85" s="105">
        <f>L216</f>
      </c>
      <c r="T85" s="105">
        <f>L217</f>
      </c>
      <c r="U85" s="105">
        <f>L218</f>
      </c>
      <c r="V85" s="105">
        <f>L219</f>
      </c>
      <c r="W85" s="105">
        <f>L220</f>
      </c>
      <c r="X85" s="105">
        <f>L221</f>
      </c>
      <c r="Y85" s="105">
        <f>L222</f>
      </c>
      <c r="Z85" s="105">
        <f>L223</f>
      </c>
      <c r="AA85" s="105">
        <f>L224</f>
      </c>
      <c r="AB85" s="51">
        <f>SUM(P85:AA85)</f>
      </c>
      <c r="AC85" s="105">
        <f>L226</f>
      </c>
      <c r="AD85" s="105">
        <f>L227</f>
      </c>
      <c r="AE85" s="105">
        <f>L228</f>
      </c>
      <c r="AF85" s="105">
        <f>L229</f>
      </c>
      <c r="AG85" s="105">
        <f>L230</f>
      </c>
      <c r="AH85" s="105">
        <f>L231</f>
      </c>
      <c r="AI85" s="105">
        <f>L232</f>
      </c>
      <c r="AJ85" s="105">
        <f>L233</f>
      </c>
      <c r="AK85" s="105">
        <f>L234</f>
      </c>
      <c r="AL85" s="105">
        <f>L235</f>
      </c>
      <c r="AM85" s="105">
        <f>L236</f>
      </c>
      <c r="AN85" s="105">
        <f>L237</f>
      </c>
      <c r="AO85" s="59">
        <f>SUM(AC85:AN85)</f>
      </c>
    </row>
    <row r="86" spans="2:41" x14ac:dyDescent="0.25">
      <c r="B86" s="89" t="s">
        <v>409</v>
      </c>
      <c r="C86" s="106">
        <f>L286</f>
      </c>
      <c r="D86" s="106">
        <f>L287</f>
      </c>
      <c r="E86" s="106">
        <f>L288</f>
      </c>
      <c r="F86" s="106">
        <f>L289</f>
      </c>
      <c r="G86" s="106">
        <f>L290</f>
      </c>
      <c r="H86" s="106">
        <f>L291</f>
      </c>
      <c r="I86" s="106">
        <f>L292</f>
      </c>
      <c r="J86" s="106">
        <f>L293</f>
      </c>
      <c r="K86" s="106">
        <f>L294</f>
      </c>
      <c r="L86" s="106">
        <f>L295</f>
      </c>
      <c r="M86" s="106">
        <f>L296</f>
      </c>
      <c r="N86" s="106">
        <f>L297</f>
      </c>
      <c r="O86" s="90">
        <f>N86</f>
      </c>
      <c r="P86" s="106">
        <f>L299</f>
      </c>
      <c r="Q86" s="106">
        <f>L300</f>
      </c>
      <c r="R86" s="106">
        <f>L301</f>
      </c>
      <c r="S86" s="106">
        <f>L302</f>
      </c>
      <c r="T86" s="106">
        <f>L303</f>
      </c>
      <c r="U86" s="106">
        <f>L304</f>
      </c>
      <c r="V86" s="106">
        <f>L305</f>
      </c>
      <c r="W86" s="106">
        <f>L306</f>
      </c>
      <c r="X86" s="106">
        <f>L307</f>
      </c>
      <c r="Y86" s="106">
        <f>L308</f>
      </c>
      <c r="Z86" s="106">
        <f>L309</f>
      </c>
      <c r="AA86" s="106">
        <f>L310</f>
      </c>
      <c r="AB86" s="90">
        <f>AA86</f>
      </c>
      <c r="AC86" s="106">
        <f>L312</f>
      </c>
      <c r="AD86" s="106">
        <f>L313</f>
      </c>
      <c r="AE86" s="106">
        <f>L314</f>
      </c>
      <c r="AF86" s="106">
        <f>L315</f>
      </c>
      <c r="AG86" s="106">
        <f>L316</f>
      </c>
      <c r="AH86" s="106">
        <f>L317</f>
      </c>
      <c r="AI86" s="106">
        <f>L318</f>
      </c>
      <c r="AJ86" s="106">
        <f>L319</f>
      </c>
      <c r="AK86" s="106">
        <f>L320</f>
      </c>
      <c r="AL86" s="106">
        <f>L321</f>
      </c>
      <c r="AM86" s="106">
        <f>L322</f>
      </c>
      <c r="AN86" s="106">
        <f>L323</f>
      </c>
      <c r="AO86" s="91">
        <f>AN86</f>
      </c>
    </row>
    <row r="88" ht="18" customHeight="1" spans="2:41" x14ac:dyDescent="0.25">
      <c r="B88" s="94" t="s">
        <v>202</v>
      </c>
      <c r="C88" s="95" t="s">
        <v>220</v>
      </c>
      <c r="D88" s="95" t="s">
        <v>221</v>
      </c>
      <c r="E88" s="95" t="s">
        <v>222</v>
      </c>
      <c r="F88" s="95" t="s">
        <v>223</v>
      </c>
      <c r="G88" s="95" t="s">
        <v>224</v>
      </c>
      <c r="H88" s="95" t="s">
        <v>225</v>
      </c>
      <c r="I88" s="95" t="s">
        <v>226</v>
      </c>
      <c r="J88" s="95" t="s">
        <v>227</v>
      </c>
      <c r="K88" s="95" t="s">
        <v>228</v>
      </c>
      <c r="L88" s="95" t="s">
        <v>229</v>
      </c>
      <c r="M88" s="95" t="s">
        <v>230</v>
      </c>
      <c r="N88" s="95" t="s">
        <v>231</v>
      </c>
      <c r="O88" s="96" t="s">
        <v>232</v>
      </c>
      <c r="P88" s="95" t="s">
        <v>233</v>
      </c>
      <c r="Q88" s="95" t="s">
        <v>234</v>
      </c>
      <c r="R88" s="95" t="s">
        <v>235</v>
      </c>
      <c r="S88" s="95" t="s">
        <v>236</v>
      </c>
      <c r="T88" s="95" t="s">
        <v>237</v>
      </c>
      <c r="U88" s="95" t="s">
        <v>238</v>
      </c>
      <c r="V88" s="95" t="s">
        <v>239</v>
      </c>
      <c r="W88" s="95" t="s">
        <v>240</v>
      </c>
      <c r="X88" s="95" t="s">
        <v>241</v>
      </c>
      <c r="Y88" s="95" t="s">
        <v>242</v>
      </c>
      <c r="Z88" s="95" t="s">
        <v>243</v>
      </c>
      <c r="AA88" s="95" t="s">
        <v>244</v>
      </c>
      <c r="AB88" s="96" t="s">
        <v>245</v>
      </c>
      <c r="AC88" s="95" t="s">
        <v>246</v>
      </c>
      <c r="AD88" s="95" t="s">
        <v>247</v>
      </c>
      <c r="AE88" s="95" t="s">
        <v>248</v>
      </c>
      <c r="AF88" s="95" t="s">
        <v>249</v>
      </c>
      <c r="AG88" s="95" t="s">
        <v>250</v>
      </c>
      <c r="AH88" s="95" t="s">
        <v>251</v>
      </c>
      <c r="AI88" s="95" t="s">
        <v>252</v>
      </c>
      <c r="AJ88" s="95" t="s">
        <v>253</v>
      </c>
      <c r="AK88" s="95" t="s">
        <v>254</v>
      </c>
      <c r="AL88" s="95" t="s">
        <v>255</v>
      </c>
      <c r="AM88" s="95" t="s">
        <v>256</v>
      </c>
      <c r="AN88" s="95" t="s">
        <v>257</v>
      </c>
      <c r="AO88" s="97" t="s">
        <v>258</v>
      </c>
    </row>
    <row r="89" ht="14" customHeight="1" spans="2:41" x14ac:dyDescent="0.25">
      <c r="B89" s="98" t="s">
        <v>421</v>
      </c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100"/>
    </row>
    <row r="90" spans="2:41" x14ac:dyDescent="0.25">
      <c r="B90" s="88" t="s">
        <v>406</v>
      </c>
      <c r="C90" s="51">
        <f>0</f>
      </c>
      <c r="D90" s="51">
        <f>C94</f>
      </c>
      <c r="E90" s="51">
        <f>D94</f>
      </c>
      <c r="F90" s="51">
        <f>E94</f>
      </c>
      <c r="G90" s="51">
        <f>F94</f>
      </c>
      <c r="H90" s="51">
        <f>G94</f>
      </c>
      <c r="I90" s="51">
        <f>H94</f>
      </c>
      <c r="J90" s="51">
        <f>I94</f>
      </c>
      <c r="K90" s="51">
        <f>J94</f>
      </c>
      <c r="L90" s="51">
        <f>K94</f>
      </c>
      <c r="M90" s="51">
        <f>L94</f>
      </c>
      <c r="N90" s="51">
        <f>M94</f>
      </c>
      <c r="O90" s="51">
        <f>C90</f>
      </c>
      <c r="P90" s="51">
        <f>N94</f>
      </c>
      <c r="Q90" s="51">
        <f>P94</f>
      </c>
      <c r="R90" s="51">
        <f>Q94</f>
      </c>
      <c r="S90" s="51">
        <f>R94</f>
      </c>
      <c r="T90" s="51">
        <f>S94</f>
      </c>
      <c r="U90" s="51">
        <f>T94</f>
      </c>
      <c r="V90" s="51">
        <f>U94</f>
      </c>
      <c r="W90" s="51">
        <f>V94</f>
      </c>
      <c r="X90" s="51">
        <f>W94</f>
      </c>
      <c r="Y90" s="51">
        <f>X94</f>
      </c>
      <c r="Z90" s="51">
        <f>Y94</f>
      </c>
      <c r="AA90" s="51">
        <f>Z94</f>
      </c>
      <c r="AB90" s="51">
        <f>P90</f>
      </c>
      <c r="AC90" s="51">
        <f>AA94</f>
      </c>
      <c r="AD90" s="51">
        <f>AC94</f>
      </c>
      <c r="AE90" s="51">
        <f>AD94</f>
      </c>
      <c r="AF90" s="51">
        <f>AE94</f>
      </c>
      <c r="AG90" s="51">
        <f>AF94</f>
      </c>
      <c r="AH90" s="51">
        <f>AG94</f>
      </c>
      <c r="AI90" s="51">
        <f>AH94</f>
      </c>
      <c r="AJ90" s="51">
        <f>AI94</f>
      </c>
      <c r="AK90" s="51">
        <f>AJ94</f>
      </c>
      <c r="AL90" s="51">
        <f>AK94</f>
      </c>
      <c r="AM90" s="51">
        <f>AL94</f>
      </c>
      <c r="AN90" s="51">
        <f>AM94</f>
      </c>
      <c r="AO90" s="59">
        <f>AC90</f>
      </c>
    </row>
    <row r="91" spans="2:41" x14ac:dyDescent="0.25">
      <c r="B91" s="101" t="s">
        <v>418</v>
      </c>
      <c r="C91" s="102">
        <f>M243</f>
      </c>
      <c r="D91" s="102">
        <f>M244</f>
      </c>
      <c r="E91" s="102">
        <f>M245</f>
      </c>
      <c r="F91" s="102">
        <f>M246</f>
      </c>
      <c r="G91" s="102">
        <f>M247</f>
      </c>
      <c r="H91" s="102">
        <f>M248</f>
      </c>
      <c r="I91" s="102">
        <f>M249</f>
      </c>
      <c r="J91" s="102">
        <f>M250</f>
      </c>
      <c r="K91" s="102">
        <f>M251</f>
      </c>
      <c r="L91" s="102">
        <f>M252</f>
      </c>
      <c r="M91" s="102">
        <f>M253</f>
      </c>
      <c r="N91" s="102">
        <f>M254</f>
      </c>
      <c r="O91" s="103">
        <f>SUM(C91:N91)</f>
      </c>
      <c r="P91" s="102">
        <f>M256</f>
      </c>
      <c r="Q91" s="102">
        <f>M257</f>
      </c>
      <c r="R91" s="102">
        <f>M258</f>
      </c>
      <c r="S91" s="102">
        <f>M259</f>
      </c>
      <c r="T91" s="102">
        <f>M260</f>
      </c>
      <c r="U91" s="102">
        <f>M261</f>
      </c>
      <c r="V91" s="102">
        <f>M262</f>
      </c>
      <c r="W91" s="102">
        <f>M263</f>
      </c>
      <c r="X91" s="102">
        <f>M264</f>
      </c>
      <c r="Y91" s="102">
        <f>M265</f>
      </c>
      <c r="Z91" s="102">
        <f>M266</f>
      </c>
      <c r="AA91" s="102">
        <f>M267</f>
      </c>
      <c r="AB91" s="103">
        <f>SUM(P91:AA91)</f>
      </c>
      <c r="AC91" s="102">
        <f>M269</f>
      </c>
      <c r="AD91" s="102">
        <f>M270</f>
      </c>
      <c r="AE91" s="102">
        <f>M271</f>
      </c>
      <c r="AF91" s="102">
        <f>M272</f>
      </c>
      <c r="AG91" s="102">
        <f>M273</f>
      </c>
      <c r="AH91" s="102">
        <f>M274</f>
      </c>
      <c r="AI91" s="102">
        <f>M275</f>
      </c>
      <c r="AJ91" s="102">
        <f>M276</f>
      </c>
      <c r="AK91" s="102">
        <f>M277</f>
      </c>
      <c r="AL91" s="102">
        <f>M278</f>
      </c>
      <c r="AM91" s="102">
        <f>M279</f>
      </c>
      <c r="AN91" s="102">
        <f>M280</f>
      </c>
      <c r="AO91" s="104">
        <f>SUM(AC91:AN91)</f>
      </c>
    </row>
    <row r="92" spans="2:41" x14ac:dyDescent="0.25">
      <c r="B92" s="88" t="s">
        <v>407</v>
      </c>
      <c r="C92" s="105">
        <f>M114</f>
      </c>
      <c r="D92" s="105">
        <f>M115</f>
      </c>
      <c r="E92" s="105">
        <f>M116</f>
      </c>
      <c r="F92" s="105">
        <f>M117</f>
      </c>
      <c r="G92" s="105">
        <f>M118</f>
      </c>
      <c r="H92" s="105">
        <f>M119</f>
      </c>
      <c r="I92" s="105">
        <f>M120</f>
      </c>
      <c r="J92" s="105">
        <f>M121</f>
      </c>
      <c r="K92" s="105">
        <f>M122</f>
      </c>
      <c r="L92" s="105">
        <f>M123</f>
      </c>
      <c r="M92" s="105">
        <f>M124</f>
      </c>
      <c r="N92" s="105">
        <f>M125</f>
      </c>
      <c r="O92" s="51">
        <f>SUM(C92:N92)</f>
      </c>
      <c r="P92" s="105">
        <f>M127</f>
      </c>
      <c r="Q92" s="105">
        <f>M128</f>
      </c>
      <c r="R92" s="105">
        <f>M129</f>
      </c>
      <c r="S92" s="105">
        <f>M130</f>
      </c>
      <c r="T92" s="105">
        <f>M131</f>
      </c>
      <c r="U92" s="105">
        <f>M132</f>
      </c>
      <c r="V92" s="105">
        <f>M133</f>
      </c>
      <c r="W92" s="105">
        <f>M134</f>
      </c>
      <c r="X92" s="105">
        <f>M135</f>
      </c>
      <c r="Y92" s="105">
        <f>M136</f>
      </c>
      <c r="Z92" s="105">
        <f>M137</f>
      </c>
      <c r="AA92" s="105">
        <f>M138</f>
      </c>
      <c r="AB92" s="51">
        <f>SUM(P92:AA92)</f>
      </c>
      <c r="AC92" s="105">
        <f>M140</f>
      </c>
      <c r="AD92" s="105">
        <f>M141</f>
      </c>
      <c r="AE92" s="105">
        <f>M142</f>
      </c>
      <c r="AF92" s="105">
        <f>M143</f>
      </c>
      <c r="AG92" s="105">
        <f>M144</f>
      </c>
      <c r="AH92" s="105">
        <f>M145</f>
      </c>
      <c r="AI92" s="105">
        <f>M146</f>
      </c>
      <c r="AJ92" s="105">
        <f>M147</f>
      </c>
      <c r="AK92" s="105">
        <f>M148</f>
      </c>
      <c r="AL92" s="105">
        <f>M149</f>
      </c>
      <c r="AM92" s="105">
        <f>M150</f>
      </c>
      <c r="AN92" s="105">
        <f>M151</f>
      </c>
      <c r="AO92" s="59">
        <f>SUM(AC92:AN92)</f>
      </c>
    </row>
    <row r="93" spans="2:41" x14ac:dyDescent="0.25">
      <c r="B93" s="88" t="s">
        <v>408</v>
      </c>
      <c r="C93" s="105">
        <f>M200</f>
      </c>
      <c r="D93" s="105">
        <f>M201</f>
      </c>
      <c r="E93" s="105">
        <f>M202</f>
      </c>
      <c r="F93" s="105">
        <f>M203</f>
      </c>
      <c r="G93" s="105">
        <f>M204</f>
      </c>
      <c r="H93" s="105">
        <f>M205</f>
      </c>
      <c r="I93" s="105">
        <f>M206</f>
      </c>
      <c r="J93" s="105">
        <f>M207</f>
      </c>
      <c r="K93" s="105">
        <f>M208</f>
      </c>
      <c r="L93" s="105">
        <f>M209</f>
      </c>
      <c r="M93" s="105">
        <f>M210</f>
      </c>
      <c r="N93" s="105">
        <f>M211</f>
      </c>
      <c r="O93" s="51">
        <f>SUM(C93:N93)</f>
      </c>
      <c r="P93" s="105">
        <f>M213</f>
      </c>
      <c r="Q93" s="105">
        <f>M214</f>
      </c>
      <c r="R93" s="105">
        <f>M215</f>
      </c>
      <c r="S93" s="105">
        <f>M216</f>
      </c>
      <c r="T93" s="105">
        <f>M217</f>
      </c>
      <c r="U93" s="105">
        <f>M218</f>
      </c>
      <c r="V93" s="105">
        <f>M219</f>
      </c>
      <c r="W93" s="105">
        <f>M220</f>
      </c>
      <c r="X93" s="105">
        <f>M221</f>
      </c>
      <c r="Y93" s="105">
        <f>M222</f>
      </c>
      <c r="Z93" s="105">
        <f>M223</f>
      </c>
      <c r="AA93" s="105">
        <f>M224</f>
      </c>
      <c r="AB93" s="51">
        <f>SUM(P93:AA93)</f>
      </c>
      <c r="AC93" s="105">
        <f>M226</f>
      </c>
      <c r="AD93" s="105">
        <f>M227</f>
      </c>
      <c r="AE93" s="105">
        <f>M228</f>
      </c>
      <c r="AF93" s="105">
        <f>M229</f>
      </c>
      <c r="AG93" s="105">
        <f>M230</f>
      </c>
      <c r="AH93" s="105">
        <f>M231</f>
      </c>
      <c r="AI93" s="105">
        <f>M232</f>
      </c>
      <c r="AJ93" s="105">
        <f>M233</f>
      </c>
      <c r="AK93" s="105">
        <f>M234</f>
      </c>
      <c r="AL93" s="105">
        <f>M235</f>
      </c>
      <c r="AM93" s="105">
        <f>M236</f>
      </c>
      <c r="AN93" s="105">
        <f>M237</f>
      </c>
      <c r="AO93" s="59">
        <f>SUM(AC93:AN93)</f>
      </c>
    </row>
    <row r="94" spans="2:41" x14ac:dyDescent="0.25">
      <c r="B94" s="89" t="s">
        <v>409</v>
      </c>
      <c r="C94" s="106">
        <f>M286</f>
      </c>
      <c r="D94" s="106">
        <f>M287</f>
      </c>
      <c r="E94" s="106">
        <f>M288</f>
      </c>
      <c r="F94" s="106">
        <f>M289</f>
      </c>
      <c r="G94" s="106">
        <f>M290</f>
      </c>
      <c r="H94" s="106">
        <f>M291</f>
      </c>
      <c r="I94" s="106">
        <f>M292</f>
      </c>
      <c r="J94" s="106">
        <f>M293</f>
      </c>
      <c r="K94" s="106">
        <f>M294</f>
      </c>
      <c r="L94" s="106">
        <f>M295</f>
      </c>
      <c r="M94" s="106">
        <f>M296</f>
      </c>
      <c r="N94" s="106">
        <f>M297</f>
      </c>
      <c r="O94" s="90">
        <f>N94</f>
      </c>
      <c r="P94" s="106">
        <f>M299</f>
      </c>
      <c r="Q94" s="106">
        <f>M300</f>
      </c>
      <c r="R94" s="106">
        <f>M301</f>
      </c>
      <c r="S94" s="106">
        <f>M302</f>
      </c>
      <c r="T94" s="106">
        <f>M303</f>
      </c>
      <c r="U94" s="106">
        <f>M304</f>
      </c>
      <c r="V94" s="106">
        <f>M305</f>
      </c>
      <c r="W94" s="106">
        <f>M306</f>
      </c>
      <c r="X94" s="106">
        <f>M307</f>
      </c>
      <c r="Y94" s="106">
        <f>M308</f>
      </c>
      <c r="Z94" s="106">
        <f>M309</f>
      </c>
      <c r="AA94" s="106">
        <f>M310</f>
      </c>
      <c r="AB94" s="90">
        <f>AA94</f>
      </c>
      <c r="AC94" s="106">
        <f>M312</f>
      </c>
      <c r="AD94" s="106">
        <f>M313</f>
      </c>
      <c r="AE94" s="106">
        <f>M314</f>
      </c>
      <c r="AF94" s="106">
        <f>M315</f>
      </c>
      <c r="AG94" s="106">
        <f>M316</f>
      </c>
      <c r="AH94" s="106">
        <f>M317</f>
      </c>
      <c r="AI94" s="106">
        <f>M318</f>
      </c>
      <c r="AJ94" s="106">
        <f>M319</f>
      </c>
      <c r="AK94" s="106">
        <f>M320</f>
      </c>
      <c r="AL94" s="106">
        <f>M321</f>
      </c>
      <c r="AM94" s="106">
        <f>M322</f>
      </c>
      <c r="AN94" s="106">
        <f>M323</f>
      </c>
      <c r="AO94" s="91">
        <f>AN94</f>
      </c>
    </row>
    <row r="96" ht="18" customHeight="1" spans="2:41" x14ac:dyDescent="0.25">
      <c r="B96" s="94" t="s">
        <v>204</v>
      </c>
      <c r="C96" s="95" t="s">
        <v>220</v>
      </c>
      <c r="D96" s="95" t="s">
        <v>221</v>
      </c>
      <c r="E96" s="95" t="s">
        <v>222</v>
      </c>
      <c r="F96" s="95" t="s">
        <v>223</v>
      </c>
      <c r="G96" s="95" t="s">
        <v>224</v>
      </c>
      <c r="H96" s="95" t="s">
        <v>225</v>
      </c>
      <c r="I96" s="95" t="s">
        <v>226</v>
      </c>
      <c r="J96" s="95" t="s">
        <v>227</v>
      </c>
      <c r="K96" s="95" t="s">
        <v>228</v>
      </c>
      <c r="L96" s="95" t="s">
        <v>229</v>
      </c>
      <c r="M96" s="95" t="s">
        <v>230</v>
      </c>
      <c r="N96" s="95" t="s">
        <v>231</v>
      </c>
      <c r="O96" s="96" t="s">
        <v>232</v>
      </c>
      <c r="P96" s="95" t="s">
        <v>233</v>
      </c>
      <c r="Q96" s="95" t="s">
        <v>234</v>
      </c>
      <c r="R96" s="95" t="s">
        <v>235</v>
      </c>
      <c r="S96" s="95" t="s">
        <v>236</v>
      </c>
      <c r="T96" s="95" t="s">
        <v>237</v>
      </c>
      <c r="U96" s="95" t="s">
        <v>238</v>
      </c>
      <c r="V96" s="95" t="s">
        <v>239</v>
      </c>
      <c r="W96" s="95" t="s">
        <v>240</v>
      </c>
      <c r="X96" s="95" t="s">
        <v>241</v>
      </c>
      <c r="Y96" s="95" t="s">
        <v>242</v>
      </c>
      <c r="Z96" s="95" t="s">
        <v>243</v>
      </c>
      <c r="AA96" s="95" t="s">
        <v>244</v>
      </c>
      <c r="AB96" s="96" t="s">
        <v>245</v>
      </c>
      <c r="AC96" s="95" t="s">
        <v>246</v>
      </c>
      <c r="AD96" s="95" t="s">
        <v>247</v>
      </c>
      <c r="AE96" s="95" t="s">
        <v>248</v>
      </c>
      <c r="AF96" s="95" t="s">
        <v>249</v>
      </c>
      <c r="AG96" s="95" t="s">
        <v>250</v>
      </c>
      <c r="AH96" s="95" t="s">
        <v>251</v>
      </c>
      <c r="AI96" s="95" t="s">
        <v>252</v>
      </c>
      <c r="AJ96" s="95" t="s">
        <v>253</v>
      </c>
      <c r="AK96" s="95" t="s">
        <v>254</v>
      </c>
      <c r="AL96" s="95" t="s">
        <v>255</v>
      </c>
      <c r="AM96" s="95" t="s">
        <v>256</v>
      </c>
      <c r="AN96" s="95" t="s">
        <v>257</v>
      </c>
      <c r="AO96" s="97" t="s">
        <v>258</v>
      </c>
    </row>
    <row r="97" ht="14" customHeight="1" spans="2:41" x14ac:dyDescent="0.25">
      <c r="B97" s="98" t="s">
        <v>422</v>
      </c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100"/>
    </row>
    <row r="98" spans="2:41" x14ac:dyDescent="0.25">
      <c r="B98" s="88" t="s">
        <v>406</v>
      </c>
      <c r="C98" s="51">
        <f>0</f>
      </c>
      <c r="D98" s="51">
        <f>C102</f>
      </c>
      <c r="E98" s="51">
        <f>D102</f>
      </c>
      <c r="F98" s="51">
        <f>E102</f>
      </c>
      <c r="G98" s="51">
        <f>F102</f>
      </c>
      <c r="H98" s="51">
        <f>G102</f>
      </c>
      <c r="I98" s="51">
        <f>H102</f>
      </c>
      <c r="J98" s="51">
        <f>I102</f>
      </c>
      <c r="K98" s="51">
        <f>J102</f>
      </c>
      <c r="L98" s="51">
        <f>K102</f>
      </c>
      <c r="M98" s="51">
        <f>L102</f>
      </c>
      <c r="N98" s="51">
        <f>M102</f>
      </c>
      <c r="O98" s="51">
        <f>C98</f>
      </c>
      <c r="P98" s="51">
        <f>N102</f>
      </c>
      <c r="Q98" s="51">
        <f>P102</f>
      </c>
      <c r="R98" s="51">
        <f>Q102</f>
      </c>
      <c r="S98" s="51">
        <f>R102</f>
      </c>
      <c r="T98" s="51">
        <f>S102</f>
      </c>
      <c r="U98" s="51">
        <f>T102</f>
      </c>
      <c r="V98" s="51">
        <f>U102</f>
      </c>
      <c r="W98" s="51">
        <f>V102</f>
      </c>
      <c r="X98" s="51">
        <f>W102</f>
      </c>
      <c r="Y98" s="51">
        <f>X102</f>
      </c>
      <c r="Z98" s="51">
        <f>Y102</f>
      </c>
      <c r="AA98" s="51">
        <f>Z102</f>
      </c>
      <c r="AB98" s="51">
        <f>P98</f>
      </c>
      <c r="AC98" s="51">
        <f>AA102</f>
      </c>
      <c r="AD98" s="51">
        <f>AC102</f>
      </c>
      <c r="AE98" s="51">
        <f>AD102</f>
      </c>
      <c r="AF98" s="51">
        <f>AE102</f>
      </c>
      <c r="AG98" s="51">
        <f>AF102</f>
      </c>
      <c r="AH98" s="51">
        <f>AG102</f>
      </c>
      <c r="AI98" s="51">
        <f>AH102</f>
      </c>
      <c r="AJ98" s="51">
        <f>AI102</f>
      </c>
      <c r="AK98" s="51">
        <f>AJ102</f>
      </c>
      <c r="AL98" s="51">
        <f>AK102</f>
      </c>
      <c r="AM98" s="51">
        <f>AL102</f>
      </c>
      <c r="AN98" s="51">
        <f>AM102</f>
      </c>
      <c r="AO98" s="59">
        <f>AC98</f>
      </c>
    </row>
    <row r="99" spans="2:41" x14ac:dyDescent="0.25">
      <c r="B99" s="101" t="s">
        <v>418</v>
      </c>
      <c r="C99" s="102">
        <f>N243</f>
      </c>
      <c r="D99" s="102">
        <f>N244</f>
      </c>
      <c r="E99" s="102">
        <f>N245</f>
      </c>
      <c r="F99" s="102">
        <f>N246</f>
      </c>
      <c r="G99" s="102">
        <f>N247</f>
      </c>
      <c r="H99" s="102">
        <f>N248</f>
      </c>
      <c r="I99" s="102">
        <f>N249</f>
      </c>
      <c r="J99" s="102">
        <f>N250</f>
      </c>
      <c r="K99" s="102">
        <f>N251</f>
      </c>
      <c r="L99" s="102">
        <f>N252</f>
      </c>
      <c r="M99" s="102">
        <f>N253</f>
      </c>
      <c r="N99" s="102">
        <f>N254</f>
      </c>
      <c r="O99" s="103">
        <f>SUM(C99:N99)</f>
      </c>
      <c r="P99" s="102">
        <f>N256</f>
      </c>
      <c r="Q99" s="102">
        <f>N257</f>
      </c>
      <c r="R99" s="102">
        <f>N258</f>
      </c>
      <c r="S99" s="102">
        <f>N259</f>
      </c>
      <c r="T99" s="102">
        <f>N260</f>
      </c>
      <c r="U99" s="102">
        <f>N261</f>
      </c>
      <c r="V99" s="102">
        <f>N262</f>
      </c>
      <c r="W99" s="102">
        <f>N263</f>
      </c>
      <c r="X99" s="102">
        <f>N264</f>
      </c>
      <c r="Y99" s="102">
        <f>N265</f>
      </c>
      <c r="Z99" s="102">
        <f>N266</f>
      </c>
      <c r="AA99" s="102">
        <f>N267</f>
      </c>
      <c r="AB99" s="103">
        <f>SUM(P99:AA99)</f>
      </c>
      <c r="AC99" s="102">
        <f>N269</f>
      </c>
      <c r="AD99" s="102">
        <f>N270</f>
      </c>
      <c r="AE99" s="102">
        <f>N271</f>
      </c>
      <c r="AF99" s="102">
        <f>N272</f>
      </c>
      <c r="AG99" s="102">
        <f>N273</f>
      </c>
      <c r="AH99" s="102">
        <f>N274</f>
      </c>
      <c r="AI99" s="102">
        <f>N275</f>
      </c>
      <c r="AJ99" s="102">
        <f>N276</f>
      </c>
      <c r="AK99" s="102">
        <f>N277</f>
      </c>
      <c r="AL99" s="102">
        <f>N278</f>
      </c>
      <c r="AM99" s="102">
        <f>N279</f>
      </c>
      <c r="AN99" s="102">
        <f>N280</f>
      </c>
      <c r="AO99" s="104">
        <f>SUM(AC99:AN99)</f>
      </c>
    </row>
    <row r="100" spans="2:41" x14ac:dyDescent="0.25">
      <c r="B100" s="88" t="s">
        <v>407</v>
      </c>
      <c r="C100" s="105">
        <f>N114</f>
      </c>
      <c r="D100" s="105">
        <f>N115</f>
      </c>
      <c r="E100" s="105">
        <f>N116</f>
      </c>
      <c r="F100" s="105">
        <f>N117</f>
      </c>
      <c r="G100" s="105">
        <f>N118</f>
      </c>
      <c r="H100" s="105">
        <f>N119</f>
      </c>
      <c r="I100" s="105">
        <f>N120</f>
      </c>
      <c r="J100" s="105">
        <f>N121</f>
      </c>
      <c r="K100" s="105">
        <f>N122</f>
      </c>
      <c r="L100" s="105">
        <f>N123</f>
      </c>
      <c r="M100" s="105">
        <f>N124</f>
      </c>
      <c r="N100" s="105">
        <f>N125</f>
      </c>
      <c r="O100" s="51">
        <f>SUM(C100:N100)</f>
      </c>
      <c r="P100" s="105">
        <f>N127</f>
      </c>
      <c r="Q100" s="105">
        <f>N128</f>
      </c>
      <c r="R100" s="105">
        <f>N129</f>
      </c>
      <c r="S100" s="105">
        <f>N130</f>
      </c>
      <c r="T100" s="105">
        <f>N131</f>
      </c>
      <c r="U100" s="105">
        <f>N132</f>
      </c>
      <c r="V100" s="105">
        <f>N133</f>
      </c>
      <c r="W100" s="105">
        <f>N134</f>
      </c>
      <c r="X100" s="105">
        <f>N135</f>
      </c>
      <c r="Y100" s="105">
        <f>N136</f>
      </c>
      <c r="Z100" s="105">
        <f>N137</f>
      </c>
      <c r="AA100" s="105">
        <f>N138</f>
      </c>
      <c r="AB100" s="51">
        <f>SUM(P100:AA100)</f>
      </c>
      <c r="AC100" s="105">
        <f>N140</f>
      </c>
      <c r="AD100" s="105">
        <f>N141</f>
      </c>
      <c r="AE100" s="105">
        <f>N142</f>
      </c>
      <c r="AF100" s="105">
        <f>N143</f>
      </c>
      <c r="AG100" s="105">
        <f>N144</f>
      </c>
      <c r="AH100" s="105">
        <f>N145</f>
      </c>
      <c r="AI100" s="105">
        <f>N146</f>
      </c>
      <c r="AJ100" s="105">
        <f>N147</f>
      </c>
      <c r="AK100" s="105">
        <f>N148</f>
      </c>
      <c r="AL100" s="105">
        <f>N149</f>
      </c>
      <c r="AM100" s="105">
        <f>N150</f>
      </c>
      <c r="AN100" s="105">
        <f>N151</f>
      </c>
      <c r="AO100" s="59">
        <f>SUM(AC100:AN100)</f>
      </c>
    </row>
    <row r="101" spans="2:41" x14ac:dyDescent="0.25">
      <c r="B101" s="88" t="s">
        <v>408</v>
      </c>
      <c r="C101" s="105">
        <f>N200</f>
      </c>
      <c r="D101" s="105">
        <f>N201</f>
      </c>
      <c r="E101" s="105">
        <f>N202</f>
      </c>
      <c r="F101" s="105">
        <f>N203</f>
      </c>
      <c r="G101" s="105">
        <f>N204</f>
      </c>
      <c r="H101" s="105">
        <f>N205</f>
      </c>
      <c r="I101" s="105">
        <f>N206</f>
      </c>
      <c r="J101" s="105">
        <f>N207</f>
      </c>
      <c r="K101" s="105">
        <f>N208</f>
      </c>
      <c r="L101" s="105">
        <f>N209</f>
      </c>
      <c r="M101" s="105">
        <f>N210</f>
      </c>
      <c r="N101" s="105">
        <f>N211</f>
      </c>
      <c r="O101" s="51">
        <f>SUM(C101:N101)</f>
      </c>
      <c r="P101" s="105">
        <f>N213</f>
      </c>
      <c r="Q101" s="105">
        <f>N214</f>
      </c>
      <c r="R101" s="105">
        <f>N215</f>
      </c>
      <c r="S101" s="105">
        <f>N216</f>
      </c>
      <c r="T101" s="105">
        <f>N217</f>
      </c>
      <c r="U101" s="105">
        <f>N218</f>
      </c>
      <c r="V101" s="105">
        <f>N219</f>
      </c>
      <c r="W101" s="105">
        <f>N220</f>
      </c>
      <c r="X101" s="105">
        <f>N221</f>
      </c>
      <c r="Y101" s="105">
        <f>N222</f>
      </c>
      <c r="Z101" s="105">
        <f>N223</f>
      </c>
      <c r="AA101" s="105">
        <f>N224</f>
      </c>
      <c r="AB101" s="51">
        <f>SUM(P101:AA101)</f>
      </c>
      <c r="AC101" s="105">
        <f>N226</f>
      </c>
      <c r="AD101" s="105">
        <f>N227</f>
      </c>
      <c r="AE101" s="105">
        <f>N228</f>
      </c>
      <c r="AF101" s="105">
        <f>N229</f>
      </c>
      <c r="AG101" s="105">
        <f>N230</f>
      </c>
      <c r="AH101" s="105">
        <f>N231</f>
      </c>
      <c r="AI101" s="105">
        <f>N232</f>
      </c>
      <c r="AJ101" s="105">
        <f>N233</f>
      </c>
      <c r="AK101" s="105">
        <f>N234</f>
      </c>
      <c r="AL101" s="105">
        <f>N235</f>
      </c>
      <c r="AM101" s="105">
        <f>N236</f>
      </c>
      <c r="AN101" s="105">
        <f>N237</f>
      </c>
      <c r="AO101" s="59">
        <f>SUM(AC101:AN101)</f>
      </c>
    </row>
    <row r="102" spans="2:41" x14ac:dyDescent="0.25">
      <c r="B102" s="89" t="s">
        <v>409</v>
      </c>
      <c r="C102" s="106">
        <f>N286</f>
      </c>
      <c r="D102" s="106">
        <f>N287</f>
      </c>
      <c r="E102" s="106">
        <f>N288</f>
      </c>
      <c r="F102" s="106">
        <f>N289</f>
      </c>
      <c r="G102" s="106">
        <f>N290</f>
      </c>
      <c r="H102" s="106">
        <f>N291</f>
      </c>
      <c r="I102" s="106">
        <f>N292</f>
      </c>
      <c r="J102" s="106">
        <f>N293</f>
      </c>
      <c r="K102" s="106">
        <f>N294</f>
      </c>
      <c r="L102" s="106">
        <f>N295</f>
      </c>
      <c r="M102" s="106">
        <f>N296</f>
      </c>
      <c r="N102" s="106">
        <f>N297</f>
      </c>
      <c r="O102" s="90">
        <f>N102</f>
      </c>
      <c r="P102" s="106">
        <f>N299</f>
      </c>
      <c r="Q102" s="106">
        <f>N300</f>
      </c>
      <c r="R102" s="106">
        <f>N301</f>
      </c>
      <c r="S102" s="106">
        <f>N302</f>
      </c>
      <c r="T102" s="106">
        <f>N303</f>
      </c>
      <c r="U102" s="106">
        <f>N304</f>
      </c>
      <c r="V102" s="106">
        <f>N305</f>
      </c>
      <c r="W102" s="106">
        <f>N306</f>
      </c>
      <c r="X102" s="106">
        <f>N307</f>
      </c>
      <c r="Y102" s="106">
        <f>N308</f>
      </c>
      <c r="Z102" s="106">
        <f>N309</f>
      </c>
      <c r="AA102" s="106">
        <f>N310</f>
      </c>
      <c r="AB102" s="90">
        <f>AA102</f>
      </c>
      <c r="AC102" s="106">
        <f>N312</f>
      </c>
      <c r="AD102" s="106">
        <f>N313</f>
      </c>
      <c r="AE102" s="106">
        <f>N314</f>
      </c>
      <c r="AF102" s="106">
        <f>N315</f>
      </c>
      <c r="AG102" s="106">
        <f>N316</f>
      </c>
      <c r="AH102" s="106">
        <f>N317</f>
      </c>
      <c r="AI102" s="106">
        <f>N318</f>
      </c>
      <c r="AJ102" s="106">
        <f>N319</f>
      </c>
      <c r="AK102" s="106">
        <f>N320</f>
      </c>
      <c r="AL102" s="106">
        <f>N321</f>
      </c>
      <c r="AM102" s="106">
        <f>N322</f>
      </c>
      <c r="AN102" s="106">
        <f>N323</f>
      </c>
      <c r="AO102" s="91">
        <f>AN102</f>
      </c>
    </row>
    <row r="106" ht="28" customHeight="1" spans="2:41" x14ac:dyDescent="0.25">
      <c r="B106" s="107" t="s">
        <v>423</v>
      </c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</row>
    <row r="109" ht="20" customHeight="1" hidden="1" spans="2:15" x14ac:dyDescent="0.25" outlineLevel="1" collapsed="1">
      <c r="B109" s="92" t="s">
        <v>424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</row>
    <row r="110" ht="14" customHeight="1" hidden="1" spans="2:2" x14ac:dyDescent="0.25" outlineLevel="1" collapsed="1">
      <c r="B110" s="108" t="s">
        <v>425</v>
      </c>
    </row>
    <row r="111" ht="15" customHeight="1" hidden="1" x14ac:dyDescent="0.25" outlineLevel="1" collapsed="1"/>
    <row r="112" ht="18" customHeight="1" hidden="1" spans="2:2" x14ac:dyDescent="0.25" outlineLevel="1" collapsed="1">
      <c r="B112" s="109" t="s">
        <v>407</v>
      </c>
    </row>
    <row r="113" ht="24" customHeight="1" hidden="1" spans="2:15" x14ac:dyDescent="0.25" outlineLevel="1" collapsed="1">
      <c r="B113" s="110" t="s">
        <v>101</v>
      </c>
      <c r="C113" s="111" t="s">
        <v>188</v>
      </c>
      <c r="D113" s="111" t="s">
        <v>189</v>
      </c>
      <c r="E113" s="111" t="s">
        <v>190</v>
      </c>
      <c r="F113" s="111" t="s">
        <v>191</v>
      </c>
      <c r="G113" s="111" t="s">
        <v>192</v>
      </c>
      <c r="H113" s="111" t="s">
        <v>194</v>
      </c>
      <c r="I113" s="111" t="s">
        <v>195</v>
      </c>
      <c r="J113" s="111" t="s">
        <v>199</v>
      </c>
      <c r="K113" s="111" t="s">
        <v>200</v>
      </c>
      <c r="L113" s="111" t="s">
        <v>201</v>
      </c>
      <c r="M113" s="111" t="s">
        <v>202</v>
      </c>
      <c r="N113" s="111" t="s">
        <v>204</v>
      </c>
      <c r="O113" s="112" t="s">
        <v>134</v>
      </c>
    </row>
    <row r="114" ht="15" customHeight="1" hidden="1" spans="2:15" x14ac:dyDescent="0.25" outlineLevel="1" collapsed="1">
      <c r="B114" s="113" t="s">
        <v>220</v>
      </c>
      <c r="C114" s="51">
        <f>IF(AND(1&gt;=1,1&lt;=ROUND(('Annahmen'!$E$144)*12,0)),(IF(1=1,'Annahmen'!$C$144,0))*('Annahmen'!$D$144/12),0)</f>
      </c>
      <c r="D114" s="51">
        <f>IF(AND(1&gt;=1,1&lt;=ROUND(('Annahmen'!$E$145)*12,0)),(IF(1=1,'Annahmen'!$C$145,0))*('Annahmen'!$D$145/12),0)</f>
      </c>
      <c r="E114" s="51">
        <f>IF(AND(1&gt;=1,1&lt;=ROUND(('Annahmen'!$E$146)*12,0)),(IF(1=1,'Annahmen'!$C$146,0))*('Annahmen'!$D$146/12),0)</f>
      </c>
      <c r="F114" s="51">
        <f>IF(AND(1&gt;=1,1&lt;=ROUND(('Annahmen'!$E$147)*12,0)),(IF(1=1,'Annahmen'!$C$147,0))*('Annahmen'!$D$147/12),0)</f>
      </c>
      <c r="G114" s="51">
        <f>IF(AND(1&gt;=1,1&lt;=ROUND(('Annahmen'!$E$148)*12,0)),(IF(1=1,'Annahmen'!$C$148,0))*('Annahmen'!$D$148/12),0)</f>
      </c>
      <c r="H114" s="51">
        <f>IF(AND(1&gt;=1,1&lt;=ROUND(('Annahmen'!$E$149)*12,0)),(IF(1=1,'Annahmen'!$C$149,0))*('Annahmen'!$D$149/12),0)</f>
      </c>
      <c r="I114" s="51">
        <f>IF(AND(1&gt;=1,1&lt;=ROUND(('Annahmen'!$E$150)*12,0)),(IF(1=1,'Annahmen'!$C$150,0))*('Annahmen'!$D$150/12),0)</f>
      </c>
      <c r="J114" s="51">
        <f>IF(AND((0-(('Annahmen'!$I$155-2026)*12+'Annahmen'!$H$155-1)+1)&gt;=1,(0-(('Annahmen'!$I$155-2026)*12+'Annahmen'!$H$155-1)+1)&lt;=ROUND(('Annahmen'!$E$155)*12,0)),(IF((0-(('Annahmen'!$I$155-2026)*12+'Annahmen'!$H$155-1)+1)=1,'Annahmen'!$C$155,0))*('Annahmen'!$D$155/12),0)</f>
      </c>
      <c r="K114" s="51">
        <f>IF(AND((0-(('Annahmen'!$I$156-2026)*12+'Annahmen'!$H$156-1)+1)&gt;=1,(0-(('Annahmen'!$I$156-2026)*12+'Annahmen'!$H$156-1)+1)&lt;=ROUND(('Annahmen'!$E$156)*12,0)),(IF((0-(('Annahmen'!$I$156-2026)*12+'Annahmen'!$H$156-1)+1)=1,'Annahmen'!$C$156,0))*('Annahmen'!$D$156/12),0)</f>
      </c>
      <c r="L114" s="51">
        <f>IF(AND((0-(('Annahmen'!$I$157-2026)*12+'Annahmen'!$H$157-1)+1)&gt;=1,(0-(('Annahmen'!$I$157-2026)*12+'Annahmen'!$H$157-1)+1)&lt;=ROUND(('Annahmen'!$E$157)*12,0)),(IF((0-(('Annahmen'!$I$157-2026)*12+'Annahmen'!$H$157-1)+1)=1,'Annahmen'!$C$157,0))*('Annahmen'!$D$157/12),0)</f>
      </c>
      <c r="M114" s="51">
        <f>IF(AND((0-(('Annahmen'!$I$158-2026)*12+'Annahmen'!$H$158-1)+1)&gt;=1,(0-(('Annahmen'!$I$158-2026)*12+'Annahmen'!$H$158-1)+1)&lt;=ROUND(('Annahmen'!$E$158)*12,0)),(IF((0-(('Annahmen'!$I$158-2026)*12+'Annahmen'!$H$158-1)+1)=1,'Annahmen'!$C$158,0))*('Annahmen'!$D$158/12),0)</f>
      </c>
      <c r="N114" s="51">
        <f>IF(AND((0-(('Annahmen'!$I$159-2026)*12+'Annahmen'!$H$159-1)+1)&gt;=1,(0-(('Annahmen'!$I$159-2026)*12+'Annahmen'!$H$159-1)+1)&lt;=ROUND(('Annahmen'!$E$159)*12,0)),(IF((0-(('Annahmen'!$I$159-2026)*12+'Annahmen'!$H$159-1)+1)=1,'Annahmen'!$C$159,0))*('Annahmen'!$D$159/12),0)</f>
      </c>
      <c r="O114" s="114">
        <f>SUM(C114:N114)</f>
      </c>
    </row>
    <row r="115" ht="15" customHeight="1" hidden="1" spans="2:15" x14ac:dyDescent="0.25" outlineLevel="1" collapsed="1">
      <c r="B115" s="113" t="s">
        <v>221</v>
      </c>
      <c r="C115" s="51">
        <f>IF(AND(2&gt;=1,2&lt;=ROUND(('Annahmen'!$E$144)*12,0)),(IF(2=1,'Annahmen'!$C$144,C286))*('Annahmen'!$D$144/12),0)</f>
      </c>
      <c r="D115" s="51">
        <f>IF(AND(2&gt;=1,2&lt;=ROUND(('Annahmen'!$E$145)*12,0)),(IF(2=1,'Annahmen'!$C$145,D286))*('Annahmen'!$D$145/12),0)</f>
      </c>
      <c r="E115" s="51">
        <f>IF(AND(2&gt;=1,2&lt;=ROUND(('Annahmen'!$E$146)*12,0)),(IF(2=1,'Annahmen'!$C$146,E286))*('Annahmen'!$D$146/12),0)</f>
      </c>
      <c r="F115" s="51">
        <f>IF(AND(2&gt;=1,2&lt;=ROUND(('Annahmen'!$E$147)*12,0)),(IF(2=1,'Annahmen'!$C$147,F286))*('Annahmen'!$D$147/12),0)</f>
      </c>
      <c r="G115" s="51">
        <f>IF(AND(2&gt;=1,2&lt;=ROUND(('Annahmen'!$E$148)*12,0)),(IF(2=1,'Annahmen'!$C$148,G286))*('Annahmen'!$D$148/12),0)</f>
      </c>
      <c r="H115" s="51">
        <f>IF(AND(2&gt;=1,2&lt;=ROUND(('Annahmen'!$E$149)*12,0)),(IF(2=1,'Annahmen'!$C$149,H286))*('Annahmen'!$D$149/12),0)</f>
      </c>
      <c r="I115" s="51">
        <f>IF(AND(2&gt;=1,2&lt;=ROUND(('Annahmen'!$E$150)*12,0)),(IF(2=1,'Annahmen'!$C$150,I286))*('Annahmen'!$D$150/12),0)</f>
      </c>
      <c r="J115" s="51">
        <f>IF(AND((1-(('Annahmen'!$I$155-2026)*12+'Annahmen'!$H$155-1)+1)&gt;=1,(1-(('Annahmen'!$I$155-2026)*12+'Annahmen'!$H$155-1)+1)&lt;=ROUND(('Annahmen'!$E$155)*12,0)),(IF((1-(('Annahmen'!$I$155-2026)*12+'Annahmen'!$H$155-1)+1)=1,'Annahmen'!$C$155,J286))*('Annahmen'!$D$155/12),0)</f>
      </c>
      <c r="K115" s="51">
        <f>IF(AND((1-(('Annahmen'!$I$156-2026)*12+'Annahmen'!$H$156-1)+1)&gt;=1,(1-(('Annahmen'!$I$156-2026)*12+'Annahmen'!$H$156-1)+1)&lt;=ROUND(('Annahmen'!$E$156)*12,0)),(IF((1-(('Annahmen'!$I$156-2026)*12+'Annahmen'!$H$156-1)+1)=1,'Annahmen'!$C$156,K286))*('Annahmen'!$D$156/12),0)</f>
      </c>
      <c r="L115" s="51">
        <f>IF(AND((1-(('Annahmen'!$I$157-2026)*12+'Annahmen'!$H$157-1)+1)&gt;=1,(1-(('Annahmen'!$I$157-2026)*12+'Annahmen'!$H$157-1)+1)&lt;=ROUND(('Annahmen'!$E$157)*12,0)),(IF((1-(('Annahmen'!$I$157-2026)*12+'Annahmen'!$H$157-1)+1)=1,'Annahmen'!$C$157,L286))*('Annahmen'!$D$157/12),0)</f>
      </c>
      <c r="M115" s="51">
        <f>IF(AND((1-(('Annahmen'!$I$158-2026)*12+'Annahmen'!$H$158-1)+1)&gt;=1,(1-(('Annahmen'!$I$158-2026)*12+'Annahmen'!$H$158-1)+1)&lt;=ROUND(('Annahmen'!$E$158)*12,0)),(IF((1-(('Annahmen'!$I$158-2026)*12+'Annahmen'!$H$158-1)+1)=1,'Annahmen'!$C$158,M286))*('Annahmen'!$D$158/12),0)</f>
      </c>
      <c r="N115" s="51">
        <f>IF(AND((1-(('Annahmen'!$I$159-2026)*12+'Annahmen'!$H$159-1)+1)&gt;=1,(1-(('Annahmen'!$I$159-2026)*12+'Annahmen'!$H$159-1)+1)&lt;=ROUND(('Annahmen'!$E$159)*12,0)),(IF((1-(('Annahmen'!$I$159-2026)*12+'Annahmen'!$H$159-1)+1)=1,'Annahmen'!$C$159,N286))*('Annahmen'!$D$159/12),0)</f>
      </c>
      <c r="O115" s="114">
        <f>SUM(C115:N115)</f>
      </c>
    </row>
    <row r="116" ht="15" customHeight="1" hidden="1" spans="2:15" x14ac:dyDescent="0.25" outlineLevel="1" collapsed="1">
      <c r="B116" s="113" t="s">
        <v>222</v>
      </c>
      <c r="C116" s="51">
        <f>IF(AND(3&gt;=1,3&lt;=ROUND(('Annahmen'!$E$144)*12,0)),(IF(3=1,'Annahmen'!$C$144,C287))*('Annahmen'!$D$144/12),0)</f>
      </c>
      <c r="D116" s="51">
        <f>IF(AND(3&gt;=1,3&lt;=ROUND(('Annahmen'!$E$145)*12,0)),(IF(3=1,'Annahmen'!$C$145,D287))*('Annahmen'!$D$145/12),0)</f>
      </c>
      <c r="E116" s="51">
        <f>IF(AND(3&gt;=1,3&lt;=ROUND(('Annahmen'!$E$146)*12,0)),(IF(3=1,'Annahmen'!$C$146,E287))*('Annahmen'!$D$146/12),0)</f>
      </c>
      <c r="F116" s="51">
        <f>IF(AND(3&gt;=1,3&lt;=ROUND(('Annahmen'!$E$147)*12,0)),(IF(3=1,'Annahmen'!$C$147,F287))*('Annahmen'!$D$147/12),0)</f>
      </c>
      <c r="G116" s="51">
        <f>IF(AND(3&gt;=1,3&lt;=ROUND(('Annahmen'!$E$148)*12,0)),(IF(3=1,'Annahmen'!$C$148,G287))*('Annahmen'!$D$148/12),0)</f>
      </c>
      <c r="H116" s="51">
        <f>IF(AND(3&gt;=1,3&lt;=ROUND(('Annahmen'!$E$149)*12,0)),(IF(3=1,'Annahmen'!$C$149,H287))*('Annahmen'!$D$149/12),0)</f>
      </c>
      <c r="I116" s="51">
        <f>IF(AND(3&gt;=1,3&lt;=ROUND(('Annahmen'!$E$150)*12,0)),(IF(3=1,'Annahmen'!$C$150,I287))*('Annahmen'!$D$150/12),0)</f>
      </c>
      <c r="J116" s="51">
        <f>IF(AND((2-(('Annahmen'!$I$155-2026)*12+'Annahmen'!$H$155-1)+1)&gt;=1,(2-(('Annahmen'!$I$155-2026)*12+'Annahmen'!$H$155-1)+1)&lt;=ROUND(('Annahmen'!$E$155)*12,0)),(IF((2-(('Annahmen'!$I$155-2026)*12+'Annahmen'!$H$155-1)+1)=1,'Annahmen'!$C$155,J287))*('Annahmen'!$D$155/12),0)</f>
      </c>
      <c r="K116" s="51">
        <f>IF(AND((2-(('Annahmen'!$I$156-2026)*12+'Annahmen'!$H$156-1)+1)&gt;=1,(2-(('Annahmen'!$I$156-2026)*12+'Annahmen'!$H$156-1)+1)&lt;=ROUND(('Annahmen'!$E$156)*12,0)),(IF((2-(('Annahmen'!$I$156-2026)*12+'Annahmen'!$H$156-1)+1)=1,'Annahmen'!$C$156,K287))*('Annahmen'!$D$156/12),0)</f>
      </c>
      <c r="L116" s="51">
        <f>IF(AND((2-(('Annahmen'!$I$157-2026)*12+'Annahmen'!$H$157-1)+1)&gt;=1,(2-(('Annahmen'!$I$157-2026)*12+'Annahmen'!$H$157-1)+1)&lt;=ROUND(('Annahmen'!$E$157)*12,0)),(IF((2-(('Annahmen'!$I$157-2026)*12+'Annahmen'!$H$157-1)+1)=1,'Annahmen'!$C$157,L287))*('Annahmen'!$D$157/12),0)</f>
      </c>
      <c r="M116" s="51">
        <f>IF(AND((2-(('Annahmen'!$I$158-2026)*12+'Annahmen'!$H$158-1)+1)&gt;=1,(2-(('Annahmen'!$I$158-2026)*12+'Annahmen'!$H$158-1)+1)&lt;=ROUND(('Annahmen'!$E$158)*12,0)),(IF((2-(('Annahmen'!$I$158-2026)*12+'Annahmen'!$H$158-1)+1)=1,'Annahmen'!$C$158,M287))*('Annahmen'!$D$158/12),0)</f>
      </c>
      <c r="N116" s="51">
        <f>IF(AND((2-(('Annahmen'!$I$159-2026)*12+'Annahmen'!$H$159-1)+1)&gt;=1,(2-(('Annahmen'!$I$159-2026)*12+'Annahmen'!$H$159-1)+1)&lt;=ROUND(('Annahmen'!$E$159)*12,0)),(IF((2-(('Annahmen'!$I$159-2026)*12+'Annahmen'!$H$159-1)+1)=1,'Annahmen'!$C$159,N287))*('Annahmen'!$D$159/12),0)</f>
      </c>
      <c r="O116" s="114">
        <f>SUM(C116:N116)</f>
      </c>
    </row>
    <row r="117" ht="15" customHeight="1" hidden="1" spans="2:15" x14ac:dyDescent="0.25" outlineLevel="1" collapsed="1">
      <c r="B117" s="113" t="s">
        <v>223</v>
      </c>
      <c r="C117" s="51">
        <f>IF(AND(4&gt;=1,4&lt;=ROUND(('Annahmen'!$E$144)*12,0)),(IF(4=1,'Annahmen'!$C$144,C288))*('Annahmen'!$D$144/12),0)</f>
      </c>
      <c r="D117" s="51">
        <f>IF(AND(4&gt;=1,4&lt;=ROUND(('Annahmen'!$E$145)*12,0)),(IF(4=1,'Annahmen'!$C$145,D288))*('Annahmen'!$D$145/12),0)</f>
      </c>
      <c r="E117" s="51">
        <f>IF(AND(4&gt;=1,4&lt;=ROUND(('Annahmen'!$E$146)*12,0)),(IF(4=1,'Annahmen'!$C$146,E288))*('Annahmen'!$D$146/12),0)</f>
      </c>
      <c r="F117" s="51">
        <f>IF(AND(4&gt;=1,4&lt;=ROUND(('Annahmen'!$E$147)*12,0)),(IF(4=1,'Annahmen'!$C$147,F288))*('Annahmen'!$D$147/12),0)</f>
      </c>
      <c r="G117" s="51">
        <f>IF(AND(4&gt;=1,4&lt;=ROUND(('Annahmen'!$E$148)*12,0)),(IF(4=1,'Annahmen'!$C$148,G288))*('Annahmen'!$D$148/12),0)</f>
      </c>
      <c r="H117" s="51">
        <f>IF(AND(4&gt;=1,4&lt;=ROUND(('Annahmen'!$E$149)*12,0)),(IF(4=1,'Annahmen'!$C$149,H288))*('Annahmen'!$D$149/12),0)</f>
      </c>
      <c r="I117" s="51">
        <f>IF(AND(4&gt;=1,4&lt;=ROUND(('Annahmen'!$E$150)*12,0)),(IF(4=1,'Annahmen'!$C$150,I288))*('Annahmen'!$D$150/12),0)</f>
      </c>
      <c r="J117" s="51">
        <f>IF(AND((3-(('Annahmen'!$I$155-2026)*12+'Annahmen'!$H$155-1)+1)&gt;=1,(3-(('Annahmen'!$I$155-2026)*12+'Annahmen'!$H$155-1)+1)&lt;=ROUND(('Annahmen'!$E$155)*12,0)),(IF((3-(('Annahmen'!$I$155-2026)*12+'Annahmen'!$H$155-1)+1)=1,'Annahmen'!$C$155,J288))*('Annahmen'!$D$155/12),0)</f>
      </c>
      <c r="K117" s="51">
        <f>IF(AND((3-(('Annahmen'!$I$156-2026)*12+'Annahmen'!$H$156-1)+1)&gt;=1,(3-(('Annahmen'!$I$156-2026)*12+'Annahmen'!$H$156-1)+1)&lt;=ROUND(('Annahmen'!$E$156)*12,0)),(IF((3-(('Annahmen'!$I$156-2026)*12+'Annahmen'!$H$156-1)+1)=1,'Annahmen'!$C$156,K288))*('Annahmen'!$D$156/12),0)</f>
      </c>
      <c r="L117" s="51">
        <f>IF(AND((3-(('Annahmen'!$I$157-2026)*12+'Annahmen'!$H$157-1)+1)&gt;=1,(3-(('Annahmen'!$I$157-2026)*12+'Annahmen'!$H$157-1)+1)&lt;=ROUND(('Annahmen'!$E$157)*12,0)),(IF((3-(('Annahmen'!$I$157-2026)*12+'Annahmen'!$H$157-1)+1)=1,'Annahmen'!$C$157,L288))*('Annahmen'!$D$157/12),0)</f>
      </c>
      <c r="M117" s="51">
        <f>IF(AND((3-(('Annahmen'!$I$158-2026)*12+'Annahmen'!$H$158-1)+1)&gt;=1,(3-(('Annahmen'!$I$158-2026)*12+'Annahmen'!$H$158-1)+1)&lt;=ROUND(('Annahmen'!$E$158)*12,0)),(IF((3-(('Annahmen'!$I$158-2026)*12+'Annahmen'!$H$158-1)+1)=1,'Annahmen'!$C$158,M288))*('Annahmen'!$D$158/12),0)</f>
      </c>
      <c r="N117" s="51">
        <f>IF(AND((3-(('Annahmen'!$I$159-2026)*12+'Annahmen'!$H$159-1)+1)&gt;=1,(3-(('Annahmen'!$I$159-2026)*12+'Annahmen'!$H$159-1)+1)&lt;=ROUND(('Annahmen'!$E$159)*12,0)),(IF((3-(('Annahmen'!$I$159-2026)*12+'Annahmen'!$H$159-1)+1)=1,'Annahmen'!$C$159,N288))*('Annahmen'!$D$159/12),0)</f>
      </c>
      <c r="O117" s="114">
        <f>SUM(C117:N117)</f>
      </c>
    </row>
    <row r="118" ht="15" customHeight="1" hidden="1" spans="2:15" x14ac:dyDescent="0.25" outlineLevel="1" collapsed="1">
      <c r="B118" s="113" t="s">
        <v>224</v>
      </c>
      <c r="C118" s="51">
        <f>IF(AND(5&gt;=1,5&lt;=ROUND(('Annahmen'!$E$144)*12,0)),(IF(5=1,'Annahmen'!$C$144,C289))*('Annahmen'!$D$144/12),0)</f>
      </c>
      <c r="D118" s="51">
        <f>IF(AND(5&gt;=1,5&lt;=ROUND(('Annahmen'!$E$145)*12,0)),(IF(5=1,'Annahmen'!$C$145,D289))*('Annahmen'!$D$145/12),0)</f>
      </c>
      <c r="E118" s="51">
        <f>IF(AND(5&gt;=1,5&lt;=ROUND(('Annahmen'!$E$146)*12,0)),(IF(5=1,'Annahmen'!$C$146,E289))*('Annahmen'!$D$146/12),0)</f>
      </c>
      <c r="F118" s="51">
        <f>IF(AND(5&gt;=1,5&lt;=ROUND(('Annahmen'!$E$147)*12,0)),(IF(5=1,'Annahmen'!$C$147,F289))*('Annahmen'!$D$147/12),0)</f>
      </c>
      <c r="G118" s="51">
        <f>IF(AND(5&gt;=1,5&lt;=ROUND(('Annahmen'!$E$148)*12,0)),(IF(5=1,'Annahmen'!$C$148,G289))*('Annahmen'!$D$148/12),0)</f>
      </c>
      <c r="H118" s="51">
        <f>IF(AND(5&gt;=1,5&lt;=ROUND(('Annahmen'!$E$149)*12,0)),(IF(5=1,'Annahmen'!$C$149,H289))*('Annahmen'!$D$149/12),0)</f>
      </c>
      <c r="I118" s="51">
        <f>IF(AND(5&gt;=1,5&lt;=ROUND(('Annahmen'!$E$150)*12,0)),(IF(5=1,'Annahmen'!$C$150,I289))*('Annahmen'!$D$150/12),0)</f>
      </c>
      <c r="J118" s="51">
        <f>IF(AND((4-(('Annahmen'!$I$155-2026)*12+'Annahmen'!$H$155-1)+1)&gt;=1,(4-(('Annahmen'!$I$155-2026)*12+'Annahmen'!$H$155-1)+1)&lt;=ROUND(('Annahmen'!$E$155)*12,0)),(IF((4-(('Annahmen'!$I$155-2026)*12+'Annahmen'!$H$155-1)+1)=1,'Annahmen'!$C$155,J289))*('Annahmen'!$D$155/12),0)</f>
      </c>
      <c r="K118" s="51">
        <f>IF(AND((4-(('Annahmen'!$I$156-2026)*12+'Annahmen'!$H$156-1)+1)&gt;=1,(4-(('Annahmen'!$I$156-2026)*12+'Annahmen'!$H$156-1)+1)&lt;=ROUND(('Annahmen'!$E$156)*12,0)),(IF((4-(('Annahmen'!$I$156-2026)*12+'Annahmen'!$H$156-1)+1)=1,'Annahmen'!$C$156,K289))*('Annahmen'!$D$156/12),0)</f>
      </c>
      <c r="L118" s="51">
        <f>IF(AND((4-(('Annahmen'!$I$157-2026)*12+'Annahmen'!$H$157-1)+1)&gt;=1,(4-(('Annahmen'!$I$157-2026)*12+'Annahmen'!$H$157-1)+1)&lt;=ROUND(('Annahmen'!$E$157)*12,0)),(IF((4-(('Annahmen'!$I$157-2026)*12+'Annahmen'!$H$157-1)+1)=1,'Annahmen'!$C$157,L289))*('Annahmen'!$D$157/12),0)</f>
      </c>
      <c r="M118" s="51">
        <f>IF(AND((4-(('Annahmen'!$I$158-2026)*12+'Annahmen'!$H$158-1)+1)&gt;=1,(4-(('Annahmen'!$I$158-2026)*12+'Annahmen'!$H$158-1)+1)&lt;=ROUND(('Annahmen'!$E$158)*12,0)),(IF((4-(('Annahmen'!$I$158-2026)*12+'Annahmen'!$H$158-1)+1)=1,'Annahmen'!$C$158,M289))*('Annahmen'!$D$158/12),0)</f>
      </c>
      <c r="N118" s="51">
        <f>IF(AND((4-(('Annahmen'!$I$159-2026)*12+'Annahmen'!$H$159-1)+1)&gt;=1,(4-(('Annahmen'!$I$159-2026)*12+'Annahmen'!$H$159-1)+1)&lt;=ROUND(('Annahmen'!$E$159)*12,0)),(IF((4-(('Annahmen'!$I$159-2026)*12+'Annahmen'!$H$159-1)+1)=1,'Annahmen'!$C$159,N289))*('Annahmen'!$D$159/12),0)</f>
      </c>
      <c r="O118" s="114">
        <f>SUM(C118:N118)</f>
      </c>
    </row>
    <row r="119" ht="15" customHeight="1" hidden="1" spans="2:15" x14ac:dyDescent="0.25" outlineLevel="1" collapsed="1">
      <c r="B119" s="113" t="s">
        <v>225</v>
      </c>
      <c r="C119" s="51">
        <f>IF(AND(6&gt;=1,6&lt;=ROUND(('Annahmen'!$E$144)*12,0)),(IF(6=1,'Annahmen'!$C$144,C290))*('Annahmen'!$D$144/12),0)</f>
      </c>
      <c r="D119" s="51">
        <f>IF(AND(6&gt;=1,6&lt;=ROUND(('Annahmen'!$E$145)*12,0)),(IF(6=1,'Annahmen'!$C$145,D290))*('Annahmen'!$D$145/12),0)</f>
      </c>
      <c r="E119" s="51">
        <f>IF(AND(6&gt;=1,6&lt;=ROUND(('Annahmen'!$E$146)*12,0)),(IF(6=1,'Annahmen'!$C$146,E290))*('Annahmen'!$D$146/12),0)</f>
      </c>
      <c r="F119" s="51">
        <f>IF(AND(6&gt;=1,6&lt;=ROUND(('Annahmen'!$E$147)*12,0)),(IF(6=1,'Annahmen'!$C$147,F290))*('Annahmen'!$D$147/12),0)</f>
      </c>
      <c r="G119" s="51">
        <f>IF(AND(6&gt;=1,6&lt;=ROUND(('Annahmen'!$E$148)*12,0)),(IF(6=1,'Annahmen'!$C$148,G290))*('Annahmen'!$D$148/12),0)</f>
      </c>
      <c r="H119" s="51">
        <f>IF(AND(6&gt;=1,6&lt;=ROUND(('Annahmen'!$E$149)*12,0)),(IF(6=1,'Annahmen'!$C$149,H290))*('Annahmen'!$D$149/12),0)</f>
      </c>
      <c r="I119" s="51">
        <f>IF(AND(6&gt;=1,6&lt;=ROUND(('Annahmen'!$E$150)*12,0)),(IF(6=1,'Annahmen'!$C$150,I290))*('Annahmen'!$D$150/12),0)</f>
      </c>
      <c r="J119" s="51">
        <f>IF(AND((5-(('Annahmen'!$I$155-2026)*12+'Annahmen'!$H$155-1)+1)&gt;=1,(5-(('Annahmen'!$I$155-2026)*12+'Annahmen'!$H$155-1)+1)&lt;=ROUND(('Annahmen'!$E$155)*12,0)),(IF((5-(('Annahmen'!$I$155-2026)*12+'Annahmen'!$H$155-1)+1)=1,'Annahmen'!$C$155,J290))*('Annahmen'!$D$155/12),0)</f>
      </c>
      <c r="K119" s="51">
        <f>IF(AND((5-(('Annahmen'!$I$156-2026)*12+'Annahmen'!$H$156-1)+1)&gt;=1,(5-(('Annahmen'!$I$156-2026)*12+'Annahmen'!$H$156-1)+1)&lt;=ROUND(('Annahmen'!$E$156)*12,0)),(IF((5-(('Annahmen'!$I$156-2026)*12+'Annahmen'!$H$156-1)+1)=1,'Annahmen'!$C$156,K290))*('Annahmen'!$D$156/12),0)</f>
      </c>
      <c r="L119" s="51">
        <f>IF(AND((5-(('Annahmen'!$I$157-2026)*12+'Annahmen'!$H$157-1)+1)&gt;=1,(5-(('Annahmen'!$I$157-2026)*12+'Annahmen'!$H$157-1)+1)&lt;=ROUND(('Annahmen'!$E$157)*12,0)),(IF((5-(('Annahmen'!$I$157-2026)*12+'Annahmen'!$H$157-1)+1)=1,'Annahmen'!$C$157,L290))*('Annahmen'!$D$157/12),0)</f>
      </c>
      <c r="M119" s="51">
        <f>IF(AND((5-(('Annahmen'!$I$158-2026)*12+'Annahmen'!$H$158-1)+1)&gt;=1,(5-(('Annahmen'!$I$158-2026)*12+'Annahmen'!$H$158-1)+1)&lt;=ROUND(('Annahmen'!$E$158)*12,0)),(IF((5-(('Annahmen'!$I$158-2026)*12+'Annahmen'!$H$158-1)+1)=1,'Annahmen'!$C$158,M290))*('Annahmen'!$D$158/12),0)</f>
      </c>
      <c r="N119" s="51">
        <f>IF(AND((5-(('Annahmen'!$I$159-2026)*12+'Annahmen'!$H$159-1)+1)&gt;=1,(5-(('Annahmen'!$I$159-2026)*12+'Annahmen'!$H$159-1)+1)&lt;=ROUND(('Annahmen'!$E$159)*12,0)),(IF((5-(('Annahmen'!$I$159-2026)*12+'Annahmen'!$H$159-1)+1)=1,'Annahmen'!$C$159,N290))*('Annahmen'!$D$159/12),0)</f>
      </c>
      <c r="O119" s="114">
        <f>SUM(C119:N119)</f>
      </c>
    </row>
    <row r="120" ht="15" customHeight="1" hidden="1" spans="2:15" x14ac:dyDescent="0.25" outlineLevel="1" collapsed="1">
      <c r="B120" s="113" t="s">
        <v>226</v>
      </c>
      <c r="C120" s="51">
        <f>IF(AND(7&gt;=1,7&lt;=ROUND(('Annahmen'!$E$144)*12,0)),(IF(7=1,'Annahmen'!$C$144,C291))*('Annahmen'!$D$144/12),0)</f>
      </c>
      <c r="D120" s="51">
        <f>IF(AND(7&gt;=1,7&lt;=ROUND(('Annahmen'!$E$145)*12,0)),(IF(7=1,'Annahmen'!$C$145,D291))*('Annahmen'!$D$145/12),0)</f>
      </c>
      <c r="E120" s="51">
        <f>IF(AND(7&gt;=1,7&lt;=ROUND(('Annahmen'!$E$146)*12,0)),(IF(7=1,'Annahmen'!$C$146,E291))*('Annahmen'!$D$146/12),0)</f>
      </c>
      <c r="F120" s="51">
        <f>IF(AND(7&gt;=1,7&lt;=ROUND(('Annahmen'!$E$147)*12,0)),(IF(7=1,'Annahmen'!$C$147,F291))*('Annahmen'!$D$147/12),0)</f>
      </c>
      <c r="G120" s="51">
        <f>IF(AND(7&gt;=1,7&lt;=ROUND(('Annahmen'!$E$148)*12,0)),(IF(7=1,'Annahmen'!$C$148,G291))*('Annahmen'!$D$148/12),0)</f>
      </c>
      <c r="H120" s="51">
        <f>IF(AND(7&gt;=1,7&lt;=ROUND(('Annahmen'!$E$149)*12,0)),(IF(7=1,'Annahmen'!$C$149,H291))*('Annahmen'!$D$149/12),0)</f>
      </c>
      <c r="I120" s="51">
        <f>IF(AND(7&gt;=1,7&lt;=ROUND(('Annahmen'!$E$150)*12,0)),(IF(7=1,'Annahmen'!$C$150,I291))*('Annahmen'!$D$150/12),0)</f>
      </c>
      <c r="J120" s="51">
        <f>IF(AND((6-(('Annahmen'!$I$155-2026)*12+'Annahmen'!$H$155-1)+1)&gt;=1,(6-(('Annahmen'!$I$155-2026)*12+'Annahmen'!$H$155-1)+1)&lt;=ROUND(('Annahmen'!$E$155)*12,0)),(IF((6-(('Annahmen'!$I$155-2026)*12+'Annahmen'!$H$155-1)+1)=1,'Annahmen'!$C$155,J291))*('Annahmen'!$D$155/12),0)</f>
      </c>
      <c r="K120" s="51">
        <f>IF(AND((6-(('Annahmen'!$I$156-2026)*12+'Annahmen'!$H$156-1)+1)&gt;=1,(6-(('Annahmen'!$I$156-2026)*12+'Annahmen'!$H$156-1)+1)&lt;=ROUND(('Annahmen'!$E$156)*12,0)),(IF((6-(('Annahmen'!$I$156-2026)*12+'Annahmen'!$H$156-1)+1)=1,'Annahmen'!$C$156,K291))*('Annahmen'!$D$156/12),0)</f>
      </c>
      <c r="L120" s="51">
        <f>IF(AND((6-(('Annahmen'!$I$157-2026)*12+'Annahmen'!$H$157-1)+1)&gt;=1,(6-(('Annahmen'!$I$157-2026)*12+'Annahmen'!$H$157-1)+1)&lt;=ROUND(('Annahmen'!$E$157)*12,0)),(IF((6-(('Annahmen'!$I$157-2026)*12+'Annahmen'!$H$157-1)+1)=1,'Annahmen'!$C$157,L291))*('Annahmen'!$D$157/12),0)</f>
      </c>
      <c r="M120" s="51">
        <f>IF(AND((6-(('Annahmen'!$I$158-2026)*12+'Annahmen'!$H$158-1)+1)&gt;=1,(6-(('Annahmen'!$I$158-2026)*12+'Annahmen'!$H$158-1)+1)&lt;=ROUND(('Annahmen'!$E$158)*12,0)),(IF((6-(('Annahmen'!$I$158-2026)*12+'Annahmen'!$H$158-1)+1)=1,'Annahmen'!$C$158,M291))*('Annahmen'!$D$158/12),0)</f>
      </c>
      <c r="N120" s="51">
        <f>IF(AND((6-(('Annahmen'!$I$159-2026)*12+'Annahmen'!$H$159-1)+1)&gt;=1,(6-(('Annahmen'!$I$159-2026)*12+'Annahmen'!$H$159-1)+1)&lt;=ROUND(('Annahmen'!$E$159)*12,0)),(IF((6-(('Annahmen'!$I$159-2026)*12+'Annahmen'!$H$159-1)+1)=1,'Annahmen'!$C$159,N291))*('Annahmen'!$D$159/12),0)</f>
      </c>
      <c r="O120" s="114">
        <f>SUM(C120:N120)</f>
      </c>
    </row>
    <row r="121" ht="15" customHeight="1" hidden="1" spans="2:15" x14ac:dyDescent="0.25" outlineLevel="1" collapsed="1">
      <c r="B121" s="113" t="s">
        <v>227</v>
      </c>
      <c r="C121" s="51">
        <f>IF(AND(8&gt;=1,8&lt;=ROUND(('Annahmen'!$E$144)*12,0)),(IF(8=1,'Annahmen'!$C$144,C292))*('Annahmen'!$D$144/12),0)</f>
      </c>
      <c r="D121" s="51">
        <f>IF(AND(8&gt;=1,8&lt;=ROUND(('Annahmen'!$E$145)*12,0)),(IF(8=1,'Annahmen'!$C$145,D292))*('Annahmen'!$D$145/12),0)</f>
      </c>
      <c r="E121" s="51">
        <f>IF(AND(8&gt;=1,8&lt;=ROUND(('Annahmen'!$E$146)*12,0)),(IF(8=1,'Annahmen'!$C$146,E292))*('Annahmen'!$D$146/12),0)</f>
      </c>
      <c r="F121" s="51">
        <f>IF(AND(8&gt;=1,8&lt;=ROUND(('Annahmen'!$E$147)*12,0)),(IF(8=1,'Annahmen'!$C$147,F292))*('Annahmen'!$D$147/12),0)</f>
      </c>
      <c r="G121" s="51">
        <f>IF(AND(8&gt;=1,8&lt;=ROUND(('Annahmen'!$E$148)*12,0)),(IF(8=1,'Annahmen'!$C$148,G292))*('Annahmen'!$D$148/12),0)</f>
      </c>
      <c r="H121" s="51">
        <f>IF(AND(8&gt;=1,8&lt;=ROUND(('Annahmen'!$E$149)*12,0)),(IF(8=1,'Annahmen'!$C$149,H292))*('Annahmen'!$D$149/12),0)</f>
      </c>
      <c r="I121" s="51">
        <f>IF(AND(8&gt;=1,8&lt;=ROUND(('Annahmen'!$E$150)*12,0)),(IF(8=1,'Annahmen'!$C$150,I292))*('Annahmen'!$D$150/12),0)</f>
      </c>
      <c r="J121" s="51">
        <f>IF(AND((7-(('Annahmen'!$I$155-2026)*12+'Annahmen'!$H$155-1)+1)&gt;=1,(7-(('Annahmen'!$I$155-2026)*12+'Annahmen'!$H$155-1)+1)&lt;=ROUND(('Annahmen'!$E$155)*12,0)),(IF((7-(('Annahmen'!$I$155-2026)*12+'Annahmen'!$H$155-1)+1)=1,'Annahmen'!$C$155,J292))*('Annahmen'!$D$155/12),0)</f>
      </c>
      <c r="K121" s="51">
        <f>IF(AND((7-(('Annahmen'!$I$156-2026)*12+'Annahmen'!$H$156-1)+1)&gt;=1,(7-(('Annahmen'!$I$156-2026)*12+'Annahmen'!$H$156-1)+1)&lt;=ROUND(('Annahmen'!$E$156)*12,0)),(IF((7-(('Annahmen'!$I$156-2026)*12+'Annahmen'!$H$156-1)+1)=1,'Annahmen'!$C$156,K292))*('Annahmen'!$D$156/12),0)</f>
      </c>
      <c r="L121" s="51">
        <f>IF(AND((7-(('Annahmen'!$I$157-2026)*12+'Annahmen'!$H$157-1)+1)&gt;=1,(7-(('Annahmen'!$I$157-2026)*12+'Annahmen'!$H$157-1)+1)&lt;=ROUND(('Annahmen'!$E$157)*12,0)),(IF((7-(('Annahmen'!$I$157-2026)*12+'Annahmen'!$H$157-1)+1)=1,'Annahmen'!$C$157,L292))*('Annahmen'!$D$157/12),0)</f>
      </c>
      <c r="M121" s="51">
        <f>IF(AND((7-(('Annahmen'!$I$158-2026)*12+'Annahmen'!$H$158-1)+1)&gt;=1,(7-(('Annahmen'!$I$158-2026)*12+'Annahmen'!$H$158-1)+1)&lt;=ROUND(('Annahmen'!$E$158)*12,0)),(IF((7-(('Annahmen'!$I$158-2026)*12+'Annahmen'!$H$158-1)+1)=1,'Annahmen'!$C$158,M292))*('Annahmen'!$D$158/12),0)</f>
      </c>
      <c r="N121" s="51">
        <f>IF(AND((7-(('Annahmen'!$I$159-2026)*12+'Annahmen'!$H$159-1)+1)&gt;=1,(7-(('Annahmen'!$I$159-2026)*12+'Annahmen'!$H$159-1)+1)&lt;=ROUND(('Annahmen'!$E$159)*12,0)),(IF((7-(('Annahmen'!$I$159-2026)*12+'Annahmen'!$H$159-1)+1)=1,'Annahmen'!$C$159,N292))*('Annahmen'!$D$159/12),0)</f>
      </c>
      <c r="O121" s="114">
        <f>SUM(C121:N121)</f>
      </c>
    </row>
    <row r="122" ht="15" customHeight="1" hidden="1" spans="2:15" x14ac:dyDescent="0.25" outlineLevel="1" collapsed="1">
      <c r="B122" s="113" t="s">
        <v>228</v>
      </c>
      <c r="C122" s="51">
        <f>IF(AND(9&gt;=1,9&lt;=ROUND(('Annahmen'!$E$144)*12,0)),(IF(9=1,'Annahmen'!$C$144,C293))*('Annahmen'!$D$144/12),0)</f>
      </c>
      <c r="D122" s="51">
        <f>IF(AND(9&gt;=1,9&lt;=ROUND(('Annahmen'!$E$145)*12,0)),(IF(9=1,'Annahmen'!$C$145,D293))*('Annahmen'!$D$145/12),0)</f>
      </c>
      <c r="E122" s="51">
        <f>IF(AND(9&gt;=1,9&lt;=ROUND(('Annahmen'!$E$146)*12,0)),(IF(9=1,'Annahmen'!$C$146,E293))*('Annahmen'!$D$146/12),0)</f>
      </c>
      <c r="F122" s="51">
        <f>IF(AND(9&gt;=1,9&lt;=ROUND(('Annahmen'!$E$147)*12,0)),(IF(9=1,'Annahmen'!$C$147,F293))*('Annahmen'!$D$147/12),0)</f>
      </c>
      <c r="G122" s="51">
        <f>IF(AND(9&gt;=1,9&lt;=ROUND(('Annahmen'!$E$148)*12,0)),(IF(9=1,'Annahmen'!$C$148,G293))*('Annahmen'!$D$148/12),0)</f>
      </c>
      <c r="H122" s="51">
        <f>IF(AND(9&gt;=1,9&lt;=ROUND(('Annahmen'!$E$149)*12,0)),(IF(9=1,'Annahmen'!$C$149,H293))*('Annahmen'!$D$149/12),0)</f>
      </c>
      <c r="I122" s="51">
        <f>IF(AND(9&gt;=1,9&lt;=ROUND(('Annahmen'!$E$150)*12,0)),(IF(9=1,'Annahmen'!$C$150,I293))*('Annahmen'!$D$150/12),0)</f>
      </c>
      <c r="J122" s="51">
        <f>IF(AND((8-(('Annahmen'!$I$155-2026)*12+'Annahmen'!$H$155-1)+1)&gt;=1,(8-(('Annahmen'!$I$155-2026)*12+'Annahmen'!$H$155-1)+1)&lt;=ROUND(('Annahmen'!$E$155)*12,0)),(IF((8-(('Annahmen'!$I$155-2026)*12+'Annahmen'!$H$155-1)+1)=1,'Annahmen'!$C$155,J293))*('Annahmen'!$D$155/12),0)</f>
      </c>
      <c r="K122" s="51">
        <f>IF(AND((8-(('Annahmen'!$I$156-2026)*12+'Annahmen'!$H$156-1)+1)&gt;=1,(8-(('Annahmen'!$I$156-2026)*12+'Annahmen'!$H$156-1)+1)&lt;=ROUND(('Annahmen'!$E$156)*12,0)),(IF((8-(('Annahmen'!$I$156-2026)*12+'Annahmen'!$H$156-1)+1)=1,'Annahmen'!$C$156,K293))*('Annahmen'!$D$156/12),0)</f>
      </c>
      <c r="L122" s="51">
        <f>IF(AND((8-(('Annahmen'!$I$157-2026)*12+'Annahmen'!$H$157-1)+1)&gt;=1,(8-(('Annahmen'!$I$157-2026)*12+'Annahmen'!$H$157-1)+1)&lt;=ROUND(('Annahmen'!$E$157)*12,0)),(IF((8-(('Annahmen'!$I$157-2026)*12+'Annahmen'!$H$157-1)+1)=1,'Annahmen'!$C$157,L293))*('Annahmen'!$D$157/12),0)</f>
      </c>
      <c r="M122" s="51">
        <f>IF(AND((8-(('Annahmen'!$I$158-2026)*12+'Annahmen'!$H$158-1)+1)&gt;=1,(8-(('Annahmen'!$I$158-2026)*12+'Annahmen'!$H$158-1)+1)&lt;=ROUND(('Annahmen'!$E$158)*12,0)),(IF((8-(('Annahmen'!$I$158-2026)*12+'Annahmen'!$H$158-1)+1)=1,'Annahmen'!$C$158,M293))*('Annahmen'!$D$158/12),0)</f>
      </c>
      <c r="N122" s="51">
        <f>IF(AND((8-(('Annahmen'!$I$159-2026)*12+'Annahmen'!$H$159-1)+1)&gt;=1,(8-(('Annahmen'!$I$159-2026)*12+'Annahmen'!$H$159-1)+1)&lt;=ROUND(('Annahmen'!$E$159)*12,0)),(IF((8-(('Annahmen'!$I$159-2026)*12+'Annahmen'!$H$159-1)+1)=1,'Annahmen'!$C$159,N293))*('Annahmen'!$D$159/12),0)</f>
      </c>
      <c r="O122" s="114">
        <f>SUM(C122:N122)</f>
      </c>
    </row>
    <row r="123" ht="15" customHeight="1" hidden="1" spans="2:15" x14ac:dyDescent="0.25" outlineLevel="1" collapsed="1">
      <c r="B123" s="113" t="s">
        <v>229</v>
      </c>
      <c r="C123" s="51">
        <f>IF(AND(10&gt;=1,10&lt;=ROUND(('Annahmen'!$E$144)*12,0)),(IF(10=1,'Annahmen'!$C$144,C294))*('Annahmen'!$D$144/12),0)</f>
      </c>
      <c r="D123" s="51">
        <f>IF(AND(10&gt;=1,10&lt;=ROUND(('Annahmen'!$E$145)*12,0)),(IF(10=1,'Annahmen'!$C$145,D294))*('Annahmen'!$D$145/12),0)</f>
      </c>
      <c r="E123" s="51">
        <f>IF(AND(10&gt;=1,10&lt;=ROUND(('Annahmen'!$E$146)*12,0)),(IF(10=1,'Annahmen'!$C$146,E294))*('Annahmen'!$D$146/12),0)</f>
      </c>
      <c r="F123" s="51">
        <f>IF(AND(10&gt;=1,10&lt;=ROUND(('Annahmen'!$E$147)*12,0)),(IF(10=1,'Annahmen'!$C$147,F294))*('Annahmen'!$D$147/12),0)</f>
      </c>
      <c r="G123" s="51">
        <f>IF(AND(10&gt;=1,10&lt;=ROUND(('Annahmen'!$E$148)*12,0)),(IF(10=1,'Annahmen'!$C$148,G294))*('Annahmen'!$D$148/12),0)</f>
      </c>
      <c r="H123" s="51">
        <f>IF(AND(10&gt;=1,10&lt;=ROUND(('Annahmen'!$E$149)*12,0)),(IF(10=1,'Annahmen'!$C$149,H294))*('Annahmen'!$D$149/12),0)</f>
      </c>
      <c r="I123" s="51">
        <f>IF(AND(10&gt;=1,10&lt;=ROUND(('Annahmen'!$E$150)*12,0)),(IF(10=1,'Annahmen'!$C$150,I294))*('Annahmen'!$D$150/12),0)</f>
      </c>
      <c r="J123" s="51">
        <f>IF(AND((9-(('Annahmen'!$I$155-2026)*12+'Annahmen'!$H$155-1)+1)&gt;=1,(9-(('Annahmen'!$I$155-2026)*12+'Annahmen'!$H$155-1)+1)&lt;=ROUND(('Annahmen'!$E$155)*12,0)),(IF((9-(('Annahmen'!$I$155-2026)*12+'Annahmen'!$H$155-1)+1)=1,'Annahmen'!$C$155,J294))*('Annahmen'!$D$155/12),0)</f>
      </c>
      <c r="K123" s="51">
        <f>IF(AND((9-(('Annahmen'!$I$156-2026)*12+'Annahmen'!$H$156-1)+1)&gt;=1,(9-(('Annahmen'!$I$156-2026)*12+'Annahmen'!$H$156-1)+1)&lt;=ROUND(('Annahmen'!$E$156)*12,0)),(IF((9-(('Annahmen'!$I$156-2026)*12+'Annahmen'!$H$156-1)+1)=1,'Annahmen'!$C$156,K294))*('Annahmen'!$D$156/12),0)</f>
      </c>
      <c r="L123" s="51">
        <f>IF(AND((9-(('Annahmen'!$I$157-2026)*12+'Annahmen'!$H$157-1)+1)&gt;=1,(9-(('Annahmen'!$I$157-2026)*12+'Annahmen'!$H$157-1)+1)&lt;=ROUND(('Annahmen'!$E$157)*12,0)),(IF((9-(('Annahmen'!$I$157-2026)*12+'Annahmen'!$H$157-1)+1)=1,'Annahmen'!$C$157,L294))*('Annahmen'!$D$157/12),0)</f>
      </c>
      <c r="M123" s="51">
        <f>IF(AND((9-(('Annahmen'!$I$158-2026)*12+'Annahmen'!$H$158-1)+1)&gt;=1,(9-(('Annahmen'!$I$158-2026)*12+'Annahmen'!$H$158-1)+1)&lt;=ROUND(('Annahmen'!$E$158)*12,0)),(IF((9-(('Annahmen'!$I$158-2026)*12+'Annahmen'!$H$158-1)+1)=1,'Annahmen'!$C$158,M294))*('Annahmen'!$D$158/12),0)</f>
      </c>
      <c r="N123" s="51">
        <f>IF(AND((9-(('Annahmen'!$I$159-2026)*12+'Annahmen'!$H$159-1)+1)&gt;=1,(9-(('Annahmen'!$I$159-2026)*12+'Annahmen'!$H$159-1)+1)&lt;=ROUND(('Annahmen'!$E$159)*12,0)),(IF((9-(('Annahmen'!$I$159-2026)*12+'Annahmen'!$H$159-1)+1)=1,'Annahmen'!$C$159,N294))*('Annahmen'!$D$159/12),0)</f>
      </c>
      <c r="O123" s="114">
        <f>SUM(C123:N123)</f>
      </c>
    </row>
    <row r="124" ht="15" customHeight="1" hidden="1" spans="2:15" x14ac:dyDescent="0.25" outlineLevel="1" collapsed="1">
      <c r="B124" s="113" t="s">
        <v>230</v>
      </c>
      <c r="C124" s="51">
        <f>IF(AND(11&gt;=1,11&lt;=ROUND(('Annahmen'!$E$144)*12,0)),(IF(11=1,'Annahmen'!$C$144,C295))*('Annahmen'!$D$144/12),0)</f>
      </c>
      <c r="D124" s="51">
        <f>IF(AND(11&gt;=1,11&lt;=ROUND(('Annahmen'!$E$145)*12,0)),(IF(11=1,'Annahmen'!$C$145,D295))*('Annahmen'!$D$145/12),0)</f>
      </c>
      <c r="E124" s="51">
        <f>IF(AND(11&gt;=1,11&lt;=ROUND(('Annahmen'!$E$146)*12,0)),(IF(11=1,'Annahmen'!$C$146,E295))*('Annahmen'!$D$146/12),0)</f>
      </c>
      <c r="F124" s="51">
        <f>IF(AND(11&gt;=1,11&lt;=ROUND(('Annahmen'!$E$147)*12,0)),(IF(11=1,'Annahmen'!$C$147,F295))*('Annahmen'!$D$147/12),0)</f>
      </c>
      <c r="G124" s="51">
        <f>IF(AND(11&gt;=1,11&lt;=ROUND(('Annahmen'!$E$148)*12,0)),(IF(11=1,'Annahmen'!$C$148,G295))*('Annahmen'!$D$148/12),0)</f>
      </c>
      <c r="H124" s="51">
        <f>IF(AND(11&gt;=1,11&lt;=ROUND(('Annahmen'!$E$149)*12,0)),(IF(11=1,'Annahmen'!$C$149,H295))*('Annahmen'!$D$149/12),0)</f>
      </c>
      <c r="I124" s="51">
        <f>IF(AND(11&gt;=1,11&lt;=ROUND(('Annahmen'!$E$150)*12,0)),(IF(11=1,'Annahmen'!$C$150,I295))*('Annahmen'!$D$150/12),0)</f>
      </c>
      <c r="J124" s="51">
        <f>IF(AND((10-(('Annahmen'!$I$155-2026)*12+'Annahmen'!$H$155-1)+1)&gt;=1,(10-(('Annahmen'!$I$155-2026)*12+'Annahmen'!$H$155-1)+1)&lt;=ROUND(('Annahmen'!$E$155)*12,0)),(IF((10-(('Annahmen'!$I$155-2026)*12+'Annahmen'!$H$155-1)+1)=1,'Annahmen'!$C$155,J295))*('Annahmen'!$D$155/12),0)</f>
      </c>
      <c r="K124" s="51">
        <f>IF(AND((10-(('Annahmen'!$I$156-2026)*12+'Annahmen'!$H$156-1)+1)&gt;=1,(10-(('Annahmen'!$I$156-2026)*12+'Annahmen'!$H$156-1)+1)&lt;=ROUND(('Annahmen'!$E$156)*12,0)),(IF((10-(('Annahmen'!$I$156-2026)*12+'Annahmen'!$H$156-1)+1)=1,'Annahmen'!$C$156,K295))*('Annahmen'!$D$156/12),0)</f>
      </c>
      <c r="L124" s="51">
        <f>IF(AND((10-(('Annahmen'!$I$157-2026)*12+'Annahmen'!$H$157-1)+1)&gt;=1,(10-(('Annahmen'!$I$157-2026)*12+'Annahmen'!$H$157-1)+1)&lt;=ROUND(('Annahmen'!$E$157)*12,0)),(IF((10-(('Annahmen'!$I$157-2026)*12+'Annahmen'!$H$157-1)+1)=1,'Annahmen'!$C$157,L295))*('Annahmen'!$D$157/12),0)</f>
      </c>
      <c r="M124" s="51">
        <f>IF(AND((10-(('Annahmen'!$I$158-2026)*12+'Annahmen'!$H$158-1)+1)&gt;=1,(10-(('Annahmen'!$I$158-2026)*12+'Annahmen'!$H$158-1)+1)&lt;=ROUND(('Annahmen'!$E$158)*12,0)),(IF((10-(('Annahmen'!$I$158-2026)*12+'Annahmen'!$H$158-1)+1)=1,'Annahmen'!$C$158,M295))*('Annahmen'!$D$158/12),0)</f>
      </c>
      <c r="N124" s="51">
        <f>IF(AND((10-(('Annahmen'!$I$159-2026)*12+'Annahmen'!$H$159-1)+1)&gt;=1,(10-(('Annahmen'!$I$159-2026)*12+'Annahmen'!$H$159-1)+1)&lt;=ROUND(('Annahmen'!$E$159)*12,0)),(IF((10-(('Annahmen'!$I$159-2026)*12+'Annahmen'!$H$159-1)+1)=1,'Annahmen'!$C$159,N295))*('Annahmen'!$D$159/12),0)</f>
      </c>
      <c r="O124" s="114">
        <f>SUM(C124:N124)</f>
      </c>
    </row>
    <row r="125" ht="15" customHeight="1" hidden="1" spans="2:15" x14ac:dyDescent="0.25" outlineLevel="1" collapsed="1">
      <c r="B125" s="113" t="s">
        <v>231</v>
      </c>
      <c r="C125" s="51">
        <f>IF(AND(12&gt;=1,12&lt;=ROUND(('Annahmen'!$E$144)*12,0)),(IF(12=1,'Annahmen'!$C$144,C296))*('Annahmen'!$D$144/12),0)</f>
      </c>
      <c r="D125" s="51">
        <f>IF(AND(12&gt;=1,12&lt;=ROUND(('Annahmen'!$E$145)*12,0)),(IF(12=1,'Annahmen'!$C$145,D296))*('Annahmen'!$D$145/12),0)</f>
      </c>
      <c r="E125" s="51">
        <f>IF(AND(12&gt;=1,12&lt;=ROUND(('Annahmen'!$E$146)*12,0)),(IF(12=1,'Annahmen'!$C$146,E296))*('Annahmen'!$D$146/12),0)</f>
      </c>
      <c r="F125" s="51">
        <f>IF(AND(12&gt;=1,12&lt;=ROUND(('Annahmen'!$E$147)*12,0)),(IF(12=1,'Annahmen'!$C$147,F296))*('Annahmen'!$D$147/12),0)</f>
      </c>
      <c r="G125" s="51">
        <f>IF(AND(12&gt;=1,12&lt;=ROUND(('Annahmen'!$E$148)*12,0)),(IF(12=1,'Annahmen'!$C$148,G296))*('Annahmen'!$D$148/12),0)</f>
      </c>
      <c r="H125" s="51">
        <f>IF(AND(12&gt;=1,12&lt;=ROUND(('Annahmen'!$E$149)*12,0)),(IF(12=1,'Annahmen'!$C$149,H296))*('Annahmen'!$D$149/12),0)</f>
      </c>
      <c r="I125" s="51">
        <f>IF(AND(12&gt;=1,12&lt;=ROUND(('Annahmen'!$E$150)*12,0)),(IF(12=1,'Annahmen'!$C$150,I296))*('Annahmen'!$D$150/12),0)</f>
      </c>
      <c r="J125" s="51">
        <f>IF(AND((11-(('Annahmen'!$I$155-2026)*12+'Annahmen'!$H$155-1)+1)&gt;=1,(11-(('Annahmen'!$I$155-2026)*12+'Annahmen'!$H$155-1)+1)&lt;=ROUND(('Annahmen'!$E$155)*12,0)),(IF((11-(('Annahmen'!$I$155-2026)*12+'Annahmen'!$H$155-1)+1)=1,'Annahmen'!$C$155,J296))*('Annahmen'!$D$155/12),0)</f>
      </c>
      <c r="K125" s="51">
        <f>IF(AND((11-(('Annahmen'!$I$156-2026)*12+'Annahmen'!$H$156-1)+1)&gt;=1,(11-(('Annahmen'!$I$156-2026)*12+'Annahmen'!$H$156-1)+1)&lt;=ROUND(('Annahmen'!$E$156)*12,0)),(IF((11-(('Annahmen'!$I$156-2026)*12+'Annahmen'!$H$156-1)+1)=1,'Annahmen'!$C$156,K296))*('Annahmen'!$D$156/12),0)</f>
      </c>
      <c r="L125" s="51">
        <f>IF(AND((11-(('Annahmen'!$I$157-2026)*12+'Annahmen'!$H$157-1)+1)&gt;=1,(11-(('Annahmen'!$I$157-2026)*12+'Annahmen'!$H$157-1)+1)&lt;=ROUND(('Annahmen'!$E$157)*12,0)),(IF((11-(('Annahmen'!$I$157-2026)*12+'Annahmen'!$H$157-1)+1)=1,'Annahmen'!$C$157,L296))*('Annahmen'!$D$157/12),0)</f>
      </c>
      <c r="M125" s="51">
        <f>IF(AND((11-(('Annahmen'!$I$158-2026)*12+'Annahmen'!$H$158-1)+1)&gt;=1,(11-(('Annahmen'!$I$158-2026)*12+'Annahmen'!$H$158-1)+1)&lt;=ROUND(('Annahmen'!$E$158)*12,0)),(IF((11-(('Annahmen'!$I$158-2026)*12+'Annahmen'!$H$158-1)+1)=1,'Annahmen'!$C$158,M296))*('Annahmen'!$D$158/12),0)</f>
      </c>
      <c r="N125" s="51">
        <f>IF(AND((11-(('Annahmen'!$I$159-2026)*12+'Annahmen'!$H$159-1)+1)&gt;=1,(11-(('Annahmen'!$I$159-2026)*12+'Annahmen'!$H$159-1)+1)&lt;=ROUND(('Annahmen'!$E$159)*12,0)),(IF((11-(('Annahmen'!$I$159-2026)*12+'Annahmen'!$H$159-1)+1)=1,'Annahmen'!$C$159,N296))*('Annahmen'!$D$159/12),0)</f>
      </c>
      <c r="O125" s="114">
        <f>SUM(C125:N125)</f>
      </c>
    </row>
    <row r="126" ht="15" customHeight="1" hidden="1" spans="2:15" x14ac:dyDescent="0.25" outlineLevel="1" collapsed="1">
      <c r="B126" s="115" t="s">
        <v>232</v>
      </c>
      <c r="C126" s="23">
        <f>SUM(C114:C125)</f>
      </c>
      <c r="D126" s="23">
        <f>SUM(D114:D125)</f>
      </c>
      <c r="E126" s="23">
        <f>SUM(E114:E125)</f>
      </c>
      <c r="F126" s="23">
        <f>SUM(F114:F125)</f>
      </c>
      <c r="G126" s="23">
        <f>SUM(G114:G125)</f>
      </c>
      <c r="H126" s="23">
        <f>SUM(H114:H125)</f>
      </c>
      <c r="I126" s="23">
        <f>SUM(I114:I125)</f>
      </c>
      <c r="J126" s="23">
        <f>SUM(J114:J125)</f>
      </c>
      <c r="K126" s="23">
        <f>SUM(K114:K125)</f>
      </c>
      <c r="L126" s="23">
        <f>SUM(L114:L125)</f>
      </c>
      <c r="M126" s="23">
        <f>SUM(M114:M125)</f>
      </c>
      <c r="N126" s="23">
        <f>SUM(N114:N125)</f>
      </c>
      <c r="O126" s="116">
        <f>SUM(O114:O125)</f>
      </c>
    </row>
    <row r="127" ht="15" customHeight="1" hidden="1" spans="2:15" x14ac:dyDescent="0.25" outlineLevel="1" collapsed="1">
      <c r="B127" s="113" t="s">
        <v>233</v>
      </c>
      <c r="C127" s="51">
        <f>IF(AND(13&gt;=1,13&lt;=ROUND(('Annahmen'!$E$144)*12,0)),(IF(13=1,'Annahmen'!$C$144,C297))*('Annahmen'!$D$144/12),0)</f>
      </c>
      <c r="D127" s="51">
        <f>IF(AND(13&gt;=1,13&lt;=ROUND(('Annahmen'!$E$145)*12,0)),(IF(13=1,'Annahmen'!$C$145,D297))*('Annahmen'!$D$145/12),0)</f>
      </c>
      <c r="E127" s="51">
        <f>IF(AND(13&gt;=1,13&lt;=ROUND(('Annahmen'!$E$146)*12,0)),(IF(13=1,'Annahmen'!$C$146,E297))*('Annahmen'!$D$146/12),0)</f>
      </c>
      <c r="F127" s="51">
        <f>IF(AND(13&gt;=1,13&lt;=ROUND(('Annahmen'!$E$147)*12,0)),(IF(13=1,'Annahmen'!$C$147,F297))*('Annahmen'!$D$147/12),0)</f>
      </c>
      <c r="G127" s="51">
        <f>IF(AND(13&gt;=1,13&lt;=ROUND(('Annahmen'!$E$148)*12,0)),(IF(13=1,'Annahmen'!$C$148,G297))*('Annahmen'!$D$148/12),0)</f>
      </c>
      <c r="H127" s="51">
        <f>IF(AND(13&gt;=1,13&lt;=ROUND(('Annahmen'!$E$149)*12,0)),(IF(13=1,'Annahmen'!$C$149,H297))*('Annahmen'!$D$149/12),0)</f>
      </c>
      <c r="I127" s="51">
        <f>IF(AND(13&gt;=1,13&lt;=ROUND(('Annahmen'!$E$150)*12,0)),(IF(13=1,'Annahmen'!$C$150,I297))*('Annahmen'!$D$150/12),0)</f>
      </c>
      <c r="J127" s="51">
        <f>IF(AND((12-(('Annahmen'!$I$155-2026)*12+'Annahmen'!$H$155-1)+1)&gt;=1,(12-(('Annahmen'!$I$155-2026)*12+'Annahmen'!$H$155-1)+1)&lt;=ROUND(('Annahmen'!$E$155)*12,0)),(IF((12-(('Annahmen'!$I$155-2026)*12+'Annahmen'!$H$155-1)+1)=1,'Annahmen'!$C$155,J297))*('Annahmen'!$D$155/12),0)</f>
      </c>
      <c r="K127" s="51">
        <f>IF(AND((12-(('Annahmen'!$I$156-2026)*12+'Annahmen'!$H$156-1)+1)&gt;=1,(12-(('Annahmen'!$I$156-2026)*12+'Annahmen'!$H$156-1)+1)&lt;=ROUND(('Annahmen'!$E$156)*12,0)),(IF((12-(('Annahmen'!$I$156-2026)*12+'Annahmen'!$H$156-1)+1)=1,'Annahmen'!$C$156,K297))*('Annahmen'!$D$156/12),0)</f>
      </c>
      <c r="L127" s="51">
        <f>IF(AND((12-(('Annahmen'!$I$157-2026)*12+'Annahmen'!$H$157-1)+1)&gt;=1,(12-(('Annahmen'!$I$157-2026)*12+'Annahmen'!$H$157-1)+1)&lt;=ROUND(('Annahmen'!$E$157)*12,0)),(IF((12-(('Annahmen'!$I$157-2026)*12+'Annahmen'!$H$157-1)+1)=1,'Annahmen'!$C$157,L297))*('Annahmen'!$D$157/12),0)</f>
      </c>
      <c r="M127" s="51">
        <f>IF(AND((12-(('Annahmen'!$I$158-2026)*12+'Annahmen'!$H$158-1)+1)&gt;=1,(12-(('Annahmen'!$I$158-2026)*12+'Annahmen'!$H$158-1)+1)&lt;=ROUND(('Annahmen'!$E$158)*12,0)),(IF((12-(('Annahmen'!$I$158-2026)*12+'Annahmen'!$H$158-1)+1)=1,'Annahmen'!$C$158,M297))*('Annahmen'!$D$158/12),0)</f>
      </c>
      <c r="N127" s="51">
        <f>IF(AND((12-(('Annahmen'!$I$159-2026)*12+'Annahmen'!$H$159-1)+1)&gt;=1,(12-(('Annahmen'!$I$159-2026)*12+'Annahmen'!$H$159-1)+1)&lt;=ROUND(('Annahmen'!$E$159)*12,0)),(IF((12-(('Annahmen'!$I$159-2026)*12+'Annahmen'!$H$159-1)+1)=1,'Annahmen'!$C$159,N297))*('Annahmen'!$D$159/12),0)</f>
      </c>
      <c r="O127" s="114">
        <f>SUM(C127:N127)</f>
      </c>
    </row>
    <row r="128" ht="15" customHeight="1" hidden="1" spans="2:15" x14ac:dyDescent="0.25" outlineLevel="1" collapsed="1">
      <c r="B128" s="113" t="s">
        <v>234</v>
      </c>
      <c r="C128" s="51">
        <f>IF(AND(14&gt;=1,14&lt;=ROUND(('Annahmen'!$E$144)*12,0)),(IF(14=1,'Annahmen'!$C$144,C299))*('Annahmen'!$D$144/12),0)</f>
      </c>
      <c r="D128" s="51">
        <f>IF(AND(14&gt;=1,14&lt;=ROUND(('Annahmen'!$E$145)*12,0)),(IF(14=1,'Annahmen'!$C$145,D299))*('Annahmen'!$D$145/12),0)</f>
      </c>
      <c r="E128" s="51">
        <f>IF(AND(14&gt;=1,14&lt;=ROUND(('Annahmen'!$E$146)*12,0)),(IF(14=1,'Annahmen'!$C$146,E299))*('Annahmen'!$D$146/12),0)</f>
      </c>
      <c r="F128" s="51">
        <f>IF(AND(14&gt;=1,14&lt;=ROUND(('Annahmen'!$E$147)*12,0)),(IF(14=1,'Annahmen'!$C$147,F299))*('Annahmen'!$D$147/12),0)</f>
      </c>
      <c r="G128" s="51">
        <f>IF(AND(14&gt;=1,14&lt;=ROUND(('Annahmen'!$E$148)*12,0)),(IF(14=1,'Annahmen'!$C$148,G299))*('Annahmen'!$D$148/12),0)</f>
      </c>
      <c r="H128" s="51">
        <f>IF(AND(14&gt;=1,14&lt;=ROUND(('Annahmen'!$E$149)*12,0)),(IF(14=1,'Annahmen'!$C$149,H299))*('Annahmen'!$D$149/12),0)</f>
      </c>
      <c r="I128" s="51">
        <f>IF(AND(14&gt;=1,14&lt;=ROUND(('Annahmen'!$E$150)*12,0)),(IF(14=1,'Annahmen'!$C$150,I299))*('Annahmen'!$D$150/12),0)</f>
      </c>
      <c r="J128" s="51">
        <f>IF(AND((13-(('Annahmen'!$I$155-2026)*12+'Annahmen'!$H$155-1)+1)&gt;=1,(13-(('Annahmen'!$I$155-2026)*12+'Annahmen'!$H$155-1)+1)&lt;=ROUND(('Annahmen'!$E$155)*12,0)),(IF((13-(('Annahmen'!$I$155-2026)*12+'Annahmen'!$H$155-1)+1)=1,'Annahmen'!$C$155,J299))*('Annahmen'!$D$155/12),0)</f>
      </c>
      <c r="K128" s="51">
        <f>IF(AND((13-(('Annahmen'!$I$156-2026)*12+'Annahmen'!$H$156-1)+1)&gt;=1,(13-(('Annahmen'!$I$156-2026)*12+'Annahmen'!$H$156-1)+1)&lt;=ROUND(('Annahmen'!$E$156)*12,0)),(IF((13-(('Annahmen'!$I$156-2026)*12+'Annahmen'!$H$156-1)+1)=1,'Annahmen'!$C$156,K299))*('Annahmen'!$D$156/12),0)</f>
      </c>
      <c r="L128" s="51">
        <f>IF(AND((13-(('Annahmen'!$I$157-2026)*12+'Annahmen'!$H$157-1)+1)&gt;=1,(13-(('Annahmen'!$I$157-2026)*12+'Annahmen'!$H$157-1)+1)&lt;=ROUND(('Annahmen'!$E$157)*12,0)),(IF((13-(('Annahmen'!$I$157-2026)*12+'Annahmen'!$H$157-1)+1)=1,'Annahmen'!$C$157,L299))*('Annahmen'!$D$157/12),0)</f>
      </c>
      <c r="M128" s="51">
        <f>IF(AND((13-(('Annahmen'!$I$158-2026)*12+'Annahmen'!$H$158-1)+1)&gt;=1,(13-(('Annahmen'!$I$158-2026)*12+'Annahmen'!$H$158-1)+1)&lt;=ROUND(('Annahmen'!$E$158)*12,0)),(IF((13-(('Annahmen'!$I$158-2026)*12+'Annahmen'!$H$158-1)+1)=1,'Annahmen'!$C$158,M299))*('Annahmen'!$D$158/12),0)</f>
      </c>
      <c r="N128" s="51">
        <f>IF(AND((13-(('Annahmen'!$I$159-2026)*12+'Annahmen'!$H$159-1)+1)&gt;=1,(13-(('Annahmen'!$I$159-2026)*12+'Annahmen'!$H$159-1)+1)&lt;=ROUND(('Annahmen'!$E$159)*12,0)),(IF((13-(('Annahmen'!$I$159-2026)*12+'Annahmen'!$H$159-1)+1)=1,'Annahmen'!$C$159,N299))*('Annahmen'!$D$159/12),0)</f>
      </c>
      <c r="O128" s="114">
        <f>SUM(C128:N128)</f>
      </c>
    </row>
    <row r="129" ht="15" customHeight="1" hidden="1" spans="2:15" x14ac:dyDescent="0.25" outlineLevel="1" collapsed="1">
      <c r="B129" s="113" t="s">
        <v>235</v>
      </c>
      <c r="C129" s="51">
        <f>IF(AND(15&gt;=1,15&lt;=ROUND(('Annahmen'!$E$144)*12,0)),(IF(15=1,'Annahmen'!$C$144,C300))*('Annahmen'!$D$144/12),0)</f>
      </c>
      <c r="D129" s="51">
        <f>IF(AND(15&gt;=1,15&lt;=ROUND(('Annahmen'!$E$145)*12,0)),(IF(15=1,'Annahmen'!$C$145,D300))*('Annahmen'!$D$145/12),0)</f>
      </c>
      <c r="E129" s="51">
        <f>IF(AND(15&gt;=1,15&lt;=ROUND(('Annahmen'!$E$146)*12,0)),(IF(15=1,'Annahmen'!$C$146,E300))*('Annahmen'!$D$146/12),0)</f>
      </c>
      <c r="F129" s="51">
        <f>IF(AND(15&gt;=1,15&lt;=ROUND(('Annahmen'!$E$147)*12,0)),(IF(15=1,'Annahmen'!$C$147,F300))*('Annahmen'!$D$147/12),0)</f>
      </c>
      <c r="G129" s="51">
        <f>IF(AND(15&gt;=1,15&lt;=ROUND(('Annahmen'!$E$148)*12,0)),(IF(15=1,'Annahmen'!$C$148,G300))*('Annahmen'!$D$148/12),0)</f>
      </c>
      <c r="H129" s="51">
        <f>IF(AND(15&gt;=1,15&lt;=ROUND(('Annahmen'!$E$149)*12,0)),(IF(15=1,'Annahmen'!$C$149,H300))*('Annahmen'!$D$149/12),0)</f>
      </c>
      <c r="I129" s="51">
        <f>IF(AND(15&gt;=1,15&lt;=ROUND(('Annahmen'!$E$150)*12,0)),(IF(15=1,'Annahmen'!$C$150,I300))*('Annahmen'!$D$150/12),0)</f>
      </c>
      <c r="J129" s="51">
        <f>IF(AND((14-(('Annahmen'!$I$155-2026)*12+'Annahmen'!$H$155-1)+1)&gt;=1,(14-(('Annahmen'!$I$155-2026)*12+'Annahmen'!$H$155-1)+1)&lt;=ROUND(('Annahmen'!$E$155)*12,0)),(IF((14-(('Annahmen'!$I$155-2026)*12+'Annahmen'!$H$155-1)+1)=1,'Annahmen'!$C$155,J300))*('Annahmen'!$D$155/12),0)</f>
      </c>
      <c r="K129" s="51">
        <f>IF(AND((14-(('Annahmen'!$I$156-2026)*12+'Annahmen'!$H$156-1)+1)&gt;=1,(14-(('Annahmen'!$I$156-2026)*12+'Annahmen'!$H$156-1)+1)&lt;=ROUND(('Annahmen'!$E$156)*12,0)),(IF((14-(('Annahmen'!$I$156-2026)*12+'Annahmen'!$H$156-1)+1)=1,'Annahmen'!$C$156,K300))*('Annahmen'!$D$156/12),0)</f>
      </c>
      <c r="L129" s="51">
        <f>IF(AND((14-(('Annahmen'!$I$157-2026)*12+'Annahmen'!$H$157-1)+1)&gt;=1,(14-(('Annahmen'!$I$157-2026)*12+'Annahmen'!$H$157-1)+1)&lt;=ROUND(('Annahmen'!$E$157)*12,0)),(IF((14-(('Annahmen'!$I$157-2026)*12+'Annahmen'!$H$157-1)+1)=1,'Annahmen'!$C$157,L300))*('Annahmen'!$D$157/12),0)</f>
      </c>
      <c r="M129" s="51">
        <f>IF(AND((14-(('Annahmen'!$I$158-2026)*12+'Annahmen'!$H$158-1)+1)&gt;=1,(14-(('Annahmen'!$I$158-2026)*12+'Annahmen'!$H$158-1)+1)&lt;=ROUND(('Annahmen'!$E$158)*12,0)),(IF((14-(('Annahmen'!$I$158-2026)*12+'Annahmen'!$H$158-1)+1)=1,'Annahmen'!$C$158,M300))*('Annahmen'!$D$158/12),0)</f>
      </c>
      <c r="N129" s="51">
        <f>IF(AND((14-(('Annahmen'!$I$159-2026)*12+'Annahmen'!$H$159-1)+1)&gt;=1,(14-(('Annahmen'!$I$159-2026)*12+'Annahmen'!$H$159-1)+1)&lt;=ROUND(('Annahmen'!$E$159)*12,0)),(IF((14-(('Annahmen'!$I$159-2026)*12+'Annahmen'!$H$159-1)+1)=1,'Annahmen'!$C$159,N300))*('Annahmen'!$D$159/12),0)</f>
      </c>
      <c r="O129" s="114">
        <f>SUM(C129:N129)</f>
      </c>
    </row>
    <row r="130" ht="15" customHeight="1" hidden="1" spans="2:15" x14ac:dyDescent="0.25" outlineLevel="1" collapsed="1">
      <c r="B130" s="113" t="s">
        <v>236</v>
      </c>
      <c r="C130" s="51">
        <f>IF(AND(16&gt;=1,16&lt;=ROUND(('Annahmen'!$E$144)*12,0)),(IF(16=1,'Annahmen'!$C$144,C301))*('Annahmen'!$D$144/12),0)</f>
      </c>
      <c r="D130" s="51">
        <f>IF(AND(16&gt;=1,16&lt;=ROUND(('Annahmen'!$E$145)*12,0)),(IF(16=1,'Annahmen'!$C$145,D301))*('Annahmen'!$D$145/12),0)</f>
      </c>
      <c r="E130" s="51">
        <f>IF(AND(16&gt;=1,16&lt;=ROUND(('Annahmen'!$E$146)*12,0)),(IF(16=1,'Annahmen'!$C$146,E301))*('Annahmen'!$D$146/12),0)</f>
      </c>
      <c r="F130" s="51">
        <f>IF(AND(16&gt;=1,16&lt;=ROUND(('Annahmen'!$E$147)*12,0)),(IF(16=1,'Annahmen'!$C$147,F301))*('Annahmen'!$D$147/12),0)</f>
      </c>
      <c r="G130" s="51">
        <f>IF(AND(16&gt;=1,16&lt;=ROUND(('Annahmen'!$E$148)*12,0)),(IF(16=1,'Annahmen'!$C$148,G301))*('Annahmen'!$D$148/12),0)</f>
      </c>
      <c r="H130" s="51">
        <f>IF(AND(16&gt;=1,16&lt;=ROUND(('Annahmen'!$E$149)*12,0)),(IF(16=1,'Annahmen'!$C$149,H301))*('Annahmen'!$D$149/12),0)</f>
      </c>
      <c r="I130" s="51">
        <f>IF(AND(16&gt;=1,16&lt;=ROUND(('Annahmen'!$E$150)*12,0)),(IF(16=1,'Annahmen'!$C$150,I301))*('Annahmen'!$D$150/12),0)</f>
      </c>
      <c r="J130" s="51">
        <f>IF(AND((15-(('Annahmen'!$I$155-2026)*12+'Annahmen'!$H$155-1)+1)&gt;=1,(15-(('Annahmen'!$I$155-2026)*12+'Annahmen'!$H$155-1)+1)&lt;=ROUND(('Annahmen'!$E$155)*12,0)),(IF((15-(('Annahmen'!$I$155-2026)*12+'Annahmen'!$H$155-1)+1)=1,'Annahmen'!$C$155,J301))*('Annahmen'!$D$155/12),0)</f>
      </c>
      <c r="K130" s="51">
        <f>IF(AND((15-(('Annahmen'!$I$156-2026)*12+'Annahmen'!$H$156-1)+1)&gt;=1,(15-(('Annahmen'!$I$156-2026)*12+'Annahmen'!$H$156-1)+1)&lt;=ROUND(('Annahmen'!$E$156)*12,0)),(IF((15-(('Annahmen'!$I$156-2026)*12+'Annahmen'!$H$156-1)+1)=1,'Annahmen'!$C$156,K301))*('Annahmen'!$D$156/12),0)</f>
      </c>
      <c r="L130" s="51">
        <f>IF(AND((15-(('Annahmen'!$I$157-2026)*12+'Annahmen'!$H$157-1)+1)&gt;=1,(15-(('Annahmen'!$I$157-2026)*12+'Annahmen'!$H$157-1)+1)&lt;=ROUND(('Annahmen'!$E$157)*12,0)),(IF((15-(('Annahmen'!$I$157-2026)*12+'Annahmen'!$H$157-1)+1)=1,'Annahmen'!$C$157,L301))*('Annahmen'!$D$157/12),0)</f>
      </c>
      <c r="M130" s="51">
        <f>IF(AND((15-(('Annahmen'!$I$158-2026)*12+'Annahmen'!$H$158-1)+1)&gt;=1,(15-(('Annahmen'!$I$158-2026)*12+'Annahmen'!$H$158-1)+1)&lt;=ROUND(('Annahmen'!$E$158)*12,0)),(IF((15-(('Annahmen'!$I$158-2026)*12+'Annahmen'!$H$158-1)+1)=1,'Annahmen'!$C$158,M301))*('Annahmen'!$D$158/12),0)</f>
      </c>
      <c r="N130" s="51">
        <f>IF(AND((15-(('Annahmen'!$I$159-2026)*12+'Annahmen'!$H$159-1)+1)&gt;=1,(15-(('Annahmen'!$I$159-2026)*12+'Annahmen'!$H$159-1)+1)&lt;=ROUND(('Annahmen'!$E$159)*12,0)),(IF((15-(('Annahmen'!$I$159-2026)*12+'Annahmen'!$H$159-1)+1)=1,'Annahmen'!$C$159,N301))*('Annahmen'!$D$159/12),0)</f>
      </c>
      <c r="O130" s="114">
        <f>SUM(C130:N130)</f>
      </c>
    </row>
    <row r="131" ht="15" customHeight="1" hidden="1" spans="2:15" x14ac:dyDescent="0.25" outlineLevel="1" collapsed="1">
      <c r="B131" s="113" t="s">
        <v>237</v>
      </c>
      <c r="C131" s="51">
        <f>IF(AND(17&gt;=1,17&lt;=ROUND(('Annahmen'!$E$144)*12,0)),(IF(17=1,'Annahmen'!$C$144,C302))*('Annahmen'!$D$144/12),0)</f>
      </c>
      <c r="D131" s="51">
        <f>IF(AND(17&gt;=1,17&lt;=ROUND(('Annahmen'!$E$145)*12,0)),(IF(17=1,'Annahmen'!$C$145,D302))*('Annahmen'!$D$145/12),0)</f>
      </c>
      <c r="E131" s="51">
        <f>IF(AND(17&gt;=1,17&lt;=ROUND(('Annahmen'!$E$146)*12,0)),(IF(17=1,'Annahmen'!$C$146,E302))*('Annahmen'!$D$146/12),0)</f>
      </c>
      <c r="F131" s="51">
        <f>IF(AND(17&gt;=1,17&lt;=ROUND(('Annahmen'!$E$147)*12,0)),(IF(17=1,'Annahmen'!$C$147,F302))*('Annahmen'!$D$147/12),0)</f>
      </c>
      <c r="G131" s="51">
        <f>IF(AND(17&gt;=1,17&lt;=ROUND(('Annahmen'!$E$148)*12,0)),(IF(17=1,'Annahmen'!$C$148,G302))*('Annahmen'!$D$148/12),0)</f>
      </c>
      <c r="H131" s="51">
        <f>IF(AND(17&gt;=1,17&lt;=ROUND(('Annahmen'!$E$149)*12,0)),(IF(17=1,'Annahmen'!$C$149,H302))*('Annahmen'!$D$149/12),0)</f>
      </c>
      <c r="I131" s="51">
        <f>IF(AND(17&gt;=1,17&lt;=ROUND(('Annahmen'!$E$150)*12,0)),(IF(17=1,'Annahmen'!$C$150,I302))*('Annahmen'!$D$150/12),0)</f>
      </c>
      <c r="J131" s="51">
        <f>IF(AND((16-(('Annahmen'!$I$155-2026)*12+'Annahmen'!$H$155-1)+1)&gt;=1,(16-(('Annahmen'!$I$155-2026)*12+'Annahmen'!$H$155-1)+1)&lt;=ROUND(('Annahmen'!$E$155)*12,0)),(IF((16-(('Annahmen'!$I$155-2026)*12+'Annahmen'!$H$155-1)+1)=1,'Annahmen'!$C$155,J302))*('Annahmen'!$D$155/12),0)</f>
      </c>
      <c r="K131" s="51">
        <f>IF(AND((16-(('Annahmen'!$I$156-2026)*12+'Annahmen'!$H$156-1)+1)&gt;=1,(16-(('Annahmen'!$I$156-2026)*12+'Annahmen'!$H$156-1)+1)&lt;=ROUND(('Annahmen'!$E$156)*12,0)),(IF((16-(('Annahmen'!$I$156-2026)*12+'Annahmen'!$H$156-1)+1)=1,'Annahmen'!$C$156,K302))*('Annahmen'!$D$156/12),0)</f>
      </c>
      <c r="L131" s="51">
        <f>IF(AND((16-(('Annahmen'!$I$157-2026)*12+'Annahmen'!$H$157-1)+1)&gt;=1,(16-(('Annahmen'!$I$157-2026)*12+'Annahmen'!$H$157-1)+1)&lt;=ROUND(('Annahmen'!$E$157)*12,0)),(IF((16-(('Annahmen'!$I$157-2026)*12+'Annahmen'!$H$157-1)+1)=1,'Annahmen'!$C$157,L302))*('Annahmen'!$D$157/12),0)</f>
      </c>
      <c r="M131" s="51">
        <f>IF(AND((16-(('Annahmen'!$I$158-2026)*12+'Annahmen'!$H$158-1)+1)&gt;=1,(16-(('Annahmen'!$I$158-2026)*12+'Annahmen'!$H$158-1)+1)&lt;=ROUND(('Annahmen'!$E$158)*12,0)),(IF((16-(('Annahmen'!$I$158-2026)*12+'Annahmen'!$H$158-1)+1)=1,'Annahmen'!$C$158,M302))*('Annahmen'!$D$158/12),0)</f>
      </c>
      <c r="N131" s="51">
        <f>IF(AND((16-(('Annahmen'!$I$159-2026)*12+'Annahmen'!$H$159-1)+1)&gt;=1,(16-(('Annahmen'!$I$159-2026)*12+'Annahmen'!$H$159-1)+1)&lt;=ROUND(('Annahmen'!$E$159)*12,0)),(IF((16-(('Annahmen'!$I$159-2026)*12+'Annahmen'!$H$159-1)+1)=1,'Annahmen'!$C$159,N302))*('Annahmen'!$D$159/12),0)</f>
      </c>
      <c r="O131" s="114">
        <f>SUM(C131:N131)</f>
      </c>
    </row>
    <row r="132" ht="15" customHeight="1" hidden="1" spans="2:15" x14ac:dyDescent="0.25" outlineLevel="1" collapsed="1">
      <c r="B132" s="113" t="s">
        <v>238</v>
      </c>
      <c r="C132" s="51">
        <f>IF(AND(18&gt;=1,18&lt;=ROUND(('Annahmen'!$E$144)*12,0)),(IF(18=1,'Annahmen'!$C$144,C303))*('Annahmen'!$D$144/12),0)</f>
      </c>
      <c r="D132" s="51">
        <f>IF(AND(18&gt;=1,18&lt;=ROUND(('Annahmen'!$E$145)*12,0)),(IF(18=1,'Annahmen'!$C$145,D303))*('Annahmen'!$D$145/12),0)</f>
      </c>
      <c r="E132" s="51">
        <f>IF(AND(18&gt;=1,18&lt;=ROUND(('Annahmen'!$E$146)*12,0)),(IF(18=1,'Annahmen'!$C$146,E303))*('Annahmen'!$D$146/12),0)</f>
      </c>
      <c r="F132" s="51">
        <f>IF(AND(18&gt;=1,18&lt;=ROUND(('Annahmen'!$E$147)*12,0)),(IF(18=1,'Annahmen'!$C$147,F303))*('Annahmen'!$D$147/12),0)</f>
      </c>
      <c r="G132" s="51">
        <f>IF(AND(18&gt;=1,18&lt;=ROUND(('Annahmen'!$E$148)*12,0)),(IF(18=1,'Annahmen'!$C$148,G303))*('Annahmen'!$D$148/12),0)</f>
      </c>
      <c r="H132" s="51">
        <f>IF(AND(18&gt;=1,18&lt;=ROUND(('Annahmen'!$E$149)*12,0)),(IF(18=1,'Annahmen'!$C$149,H303))*('Annahmen'!$D$149/12),0)</f>
      </c>
      <c r="I132" s="51">
        <f>IF(AND(18&gt;=1,18&lt;=ROUND(('Annahmen'!$E$150)*12,0)),(IF(18=1,'Annahmen'!$C$150,I303))*('Annahmen'!$D$150/12),0)</f>
      </c>
      <c r="J132" s="51">
        <f>IF(AND((17-(('Annahmen'!$I$155-2026)*12+'Annahmen'!$H$155-1)+1)&gt;=1,(17-(('Annahmen'!$I$155-2026)*12+'Annahmen'!$H$155-1)+1)&lt;=ROUND(('Annahmen'!$E$155)*12,0)),(IF((17-(('Annahmen'!$I$155-2026)*12+'Annahmen'!$H$155-1)+1)=1,'Annahmen'!$C$155,J303))*('Annahmen'!$D$155/12),0)</f>
      </c>
      <c r="K132" s="51">
        <f>IF(AND((17-(('Annahmen'!$I$156-2026)*12+'Annahmen'!$H$156-1)+1)&gt;=1,(17-(('Annahmen'!$I$156-2026)*12+'Annahmen'!$H$156-1)+1)&lt;=ROUND(('Annahmen'!$E$156)*12,0)),(IF((17-(('Annahmen'!$I$156-2026)*12+'Annahmen'!$H$156-1)+1)=1,'Annahmen'!$C$156,K303))*('Annahmen'!$D$156/12),0)</f>
      </c>
      <c r="L132" s="51">
        <f>IF(AND((17-(('Annahmen'!$I$157-2026)*12+'Annahmen'!$H$157-1)+1)&gt;=1,(17-(('Annahmen'!$I$157-2026)*12+'Annahmen'!$H$157-1)+1)&lt;=ROUND(('Annahmen'!$E$157)*12,0)),(IF((17-(('Annahmen'!$I$157-2026)*12+'Annahmen'!$H$157-1)+1)=1,'Annahmen'!$C$157,L303))*('Annahmen'!$D$157/12),0)</f>
      </c>
      <c r="M132" s="51">
        <f>IF(AND((17-(('Annahmen'!$I$158-2026)*12+'Annahmen'!$H$158-1)+1)&gt;=1,(17-(('Annahmen'!$I$158-2026)*12+'Annahmen'!$H$158-1)+1)&lt;=ROUND(('Annahmen'!$E$158)*12,0)),(IF((17-(('Annahmen'!$I$158-2026)*12+'Annahmen'!$H$158-1)+1)=1,'Annahmen'!$C$158,M303))*('Annahmen'!$D$158/12),0)</f>
      </c>
      <c r="N132" s="51">
        <f>IF(AND((17-(('Annahmen'!$I$159-2026)*12+'Annahmen'!$H$159-1)+1)&gt;=1,(17-(('Annahmen'!$I$159-2026)*12+'Annahmen'!$H$159-1)+1)&lt;=ROUND(('Annahmen'!$E$159)*12,0)),(IF((17-(('Annahmen'!$I$159-2026)*12+'Annahmen'!$H$159-1)+1)=1,'Annahmen'!$C$159,N303))*('Annahmen'!$D$159/12),0)</f>
      </c>
      <c r="O132" s="114">
        <f>SUM(C132:N132)</f>
      </c>
    </row>
    <row r="133" ht="15" customHeight="1" hidden="1" spans="2:15" x14ac:dyDescent="0.25" outlineLevel="1" collapsed="1">
      <c r="B133" s="113" t="s">
        <v>239</v>
      </c>
      <c r="C133" s="51">
        <f>IF(AND(19&gt;=1,19&lt;=ROUND(('Annahmen'!$E$144)*12,0)),(IF(19=1,'Annahmen'!$C$144,C304))*('Annahmen'!$D$144/12),0)</f>
      </c>
      <c r="D133" s="51">
        <f>IF(AND(19&gt;=1,19&lt;=ROUND(('Annahmen'!$E$145)*12,0)),(IF(19=1,'Annahmen'!$C$145,D304))*('Annahmen'!$D$145/12),0)</f>
      </c>
      <c r="E133" s="51">
        <f>IF(AND(19&gt;=1,19&lt;=ROUND(('Annahmen'!$E$146)*12,0)),(IF(19=1,'Annahmen'!$C$146,E304))*('Annahmen'!$D$146/12),0)</f>
      </c>
      <c r="F133" s="51">
        <f>IF(AND(19&gt;=1,19&lt;=ROUND(('Annahmen'!$E$147)*12,0)),(IF(19=1,'Annahmen'!$C$147,F304))*('Annahmen'!$D$147/12),0)</f>
      </c>
      <c r="G133" s="51">
        <f>IF(AND(19&gt;=1,19&lt;=ROUND(('Annahmen'!$E$148)*12,0)),(IF(19=1,'Annahmen'!$C$148,G304))*('Annahmen'!$D$148/12),0)</f>
      </c>
      <c r="H133" s="51">
        <f>IF(AND(19&gt;=1,19&lt;=ROUND(('Annahmen'!$E$149)*12,0)),(IF(19=1,'Annahmen'!$C$149,H304))*('Annahmen'!$D$149/12),0)</f>
      </c>
      <c r="I133" s="51">
        <f>IF(AND(19&gt;=1,19&lt;=ROUND(('Annahmen'!$E$150)*12,0)),(IF(19=1,'Annahmen'!$C$150,I304))*('Annahmen'!$D$150/12),0)</f>
      </c>
      <c r="J133" s="51">
        <f>IF(AND((18-(('Annahmen'!$I$155-2026)*12+'Annahmen'!$H$155-1)+1)&gt;=1,(18-(('Annahmen'!$I$155-2026)*12+'Annahmen'!$H$155-1)+1)&lt;=ROUND(('Annahmen'!$E$155)*12,0)),(IF((18-(('Annahmen'!$I$155-2026)*12+'Annahmen'!$H$155-1)+1)=1,'Annahmen'!$C$155,J304))*('Annahmen'!$D$155/12),0)</f>
      </c>
      <c r="K133" s="51">
        <f>IF(AND((18-(('Annahmen'!$I$156-2026)*12+'Annahmen'!$H$156-1)+1)&gt;=1,(18-(('Annahmen'!$I$156-2026)*12+'Annahmen'!$H$156-1)+1)&lt;=ROUND(('Annahmen'!$E$156)*12,0)),(IF((18-(('Annahmen'!$I$156-2026)*12+'Annahmen'!$H$156-1)+1)=1,'Annahmen'!$C$156,K304))*('Annahmen'!$D$156/12),0)</f>
      </c>
      <c r="L133" s="51">
        <f>IF(AND((18-(('Annahmen'!$I$157-2026)*12+'Annahmen'!$H$157-1)+1)&gt;=1,(18-(('Annahmen'!$I$157-2026)*12+'Annahmen'!$H$157-1)+1)&lt;=ROUND(('Annahmen'!$E$157)*12,0)),(IF((18-(('Annahmen'!$I$157-2026)*12+'Annahmen'!$H$157-1)+1)=1,'Annahmen'!$C$157,L304))*('Annahmen'!$D$157/12),0)</f>
      </c>
      <c r="M133" s="51">
        <f>IF(AND((18-(('Annahmen'!$I$158-2026)*12+'Annahmen'!$H$158-1)+1)&gt;=1,(18-(('Annahmen'!$I$158-2026)*12+'Annahmen'!$H$158-1)+1)&lt;=ROUND(('Annahmen'!$E$158)*12,0)),(IF((18-(('Annahmen'!$I$158-2026)*12+'Annahmen'!$H$158-1)+1)=1,'Annahmen'!$C$158,M304))*('Annahmen'!$D$158/12),0)</f>
      </c>
      <c r="N133" s="51">
        <f>IF(AND((18-(('Annahmen'!$I$159-2026)*12+'Annahmen'!$H$159-1)+1)&gt;=1,(18-(('Annahmen'!$I$159-2026)*12+'Annahmen'!$H$159-1)+1)&lt;=ROUND(('Annahmen'!$E$159)*12,0)),(IF((18-(('Annahmen'!$I$159-2026)*12+'Annahmen'!$H$159-1)+1)=1,'Annahmen'!$C$159,N304))*('Annahmen'!$D$159/12),0)</f>
      </c>
      <c r="O133" s="114">
        <f>SUM(C133:N133)</f>
      </c>
    </row>
    <row r="134" ht="15" customHeight="1" hidden="1" spans="2:15" x14ac:dyDescent="0.25" outlineLevel="1" collapsed="1">
      <c r="B134" s="113" t="s">
        <v>240</v>
      </c>
      <c r="C134" s="51">
        <f>IF(AND(20&gt;=1,20&lt;=ROUND(('Annahmen'!$E$144)*12,0)),(IF(20=1,'Annahmen'!$C$144,C305))*('Annahmen'!$D$144/12),0)</f>
      </c>
      <c r="D134" s="51">
        <f>IF(AND(20&gt;=1,20&lt;=ROUND(('Annahmen'!$E$145)*12,0)),(IF(20=1,'Annahmen'!$C$145,D305))*('Annahmen'!$D$145/12),0)</f>
      </c>
      <c r="E134" s="51">
        <f>IF(AND(20&gt;=1,20&lt;=ROUND(('Annahmen'!$E$146)*12,0)),(IF(20=1,'Annahmen'!$C$146,E305))*('Annahmen'!$D$146/12),0)</f>
      </c>
      <c r="F134" s="51">
        <f>IF(AND(20&gt;=1,20&lt;=ROUND(('Annahmen'!$E$147)*12,0)),(IF(20=1,'Annahmen'!$C$147,F305))*('Annahmen'!$D$147/12),0)</f>
      </c>
      <c r="G134" s="51">
        <f>IF(AND(20&gt;=1,20&lt;=ROUND(('Annahmen'!$E$148)*12,0)),(IF(20=1,'Annahmen'!$C$148,G305))*('Annahmen'!$D$148/12),0)</f>
      </c>
      <c r="H134" s="51">
        <f>IF(AND(20&gt;=1,20&lt;=ROUND(('Annahmen'!$E$149)*12,0)),(IF(20=1,'Annahmen'!$C$149,H305))*('Annahmen'!$D$149/12),0)</f>
      </c>
      <c r="I134" s="51">
        <f>IF(AND(20&gt;=1,20&lt;=ROUND(('Annahmen'!$E$150)*12,0)),(IF(20=1,'Annahmen'!$C$150,I305))*('Annahmen'!$D$150/12),0)</f>
      </c>
      <c r="J134" s="51">
        <f>IF(AND((19-(('Annahmen'!$I$155-2026)*12+'Annahmen'!$H$155-1)+1)&gt;=1,(19-(('Annahmen'!$I$155-2026)*12+'Annahmen'!$H$155-1)+1)&lt;=ROUND(('Annahmen'!$E$155)*12,0)),(IF((19-(('Annahmen'!$I$155-2026)*12+'Annahmen'!$H$155-1)+1)=1,'Annahmen'!$C$155,J305))*('Annahmen'!$D$155/12),0)</f>
      </c>
      <c r="K134" s="51">
        <f>IF(AND((19-(('Annahmen'!$I$156-2026)*12+'Annahmen'!$H$156-1)+1)&gt;=1,(19-(('Annahmen'!$I$156-2026)*12+'Annahmen'!$H$156-1)+1)&lt;=ROUND(('Annahmen'!$E$156)*12,0)),(IF((19-(('Annahmen'!$I$156-2026)*12+'Annahmen'!$H$156-1)+1)=1,'Annahmen'!$C$156,K305))*('Annahmen'!$D$156/12),0)</f>
      </c>
      <c r="L134" s="51">
        <f>IF(AND((19-(('Annahmen'!$I$157-2026)*12+'Annahmen'!$H$157-1)+1)&gt;=1,(19-(('Annahmen'!$I$157-2026)*12+'Annahmen'!$H$157-1)+1)&lt;=ROUND(('Annahmen'!$E$157)*12,0)),(IF((19-(('Annahmen'!$I$157-2026)*12+'Annahmen'!$H$157-1)+1)=1,'Annahmen'!$C$157,L305))*('Annahmen'!$D$157/12),0)</f>
      </c>
      <c r="M134" s="51">
        <f>IF(AND((19-(('Annahmen'!$I$158-2026)*12+'Annahmen'!$H$158-1)+1)&gt;=1,(19-(('Annahmen'!$I$158-2026)*12+'Annahmen'!$H$158-1)+1)&lt;=ROUND(('Annahmen'!$E$158)*12,0)),(IF((19-(('Annahmen'!$I$158-2026)*12+'Annahmen'!$H$158-1)+1)=1,'Annahmen'!$C$158,M305))*('Annahmen'!$D$158/12),0)</f>
      </c>
      <c r="N134" s="51">
        <f>IF(AND((19-(('Annahmen'!$I$159-2026)*12+'Annahmen'!$H$159-1)+1)&gt;=1,(19-(('Annahmen'!$I$159-2026)*12+'Annahmen'!$H$159-1)+1)&lt;=ROUND(('Annahmen'!$E$159)*12,0)),(IF((19-(('Annahmen'!$I$159-2026)*12+'Annahmen'!$H$159-1)+1)=1,'Annahmen'!$C$159,N305))*('Annahmen'!$D$159/12),0)</f>
      </c>
      <c r="O134" s="114">
        <f>SUM(C134:N134)</f>
      </c>
    </row>
    <row r="135" ht="15" customHeight="1" hidden="1" spans="2:15" x14ac:dyDescent="0.25" outlineLevel="1" collapsed="1">
      <c r="B135" s="113" t="s">
        <v>241</v>
      </c>
      <c r="C135" s="51">
        <f>IF(AND(21&gt;=1,21&lt;=ROUND(('Annahmen'!$E$144)*12,0)),(IF(21=1,'Annahmen'!$C$144,C306))*('Annahmen'!$D$144/12),0)</f>
      </c>
      <c r="D135" s="51">
        <f>IF(AND(21&gt;=1,21&lt;=ROUND(('Annahmen'!$E$145)*12,0)),(IF(21=1,'Annahmen'!$C$145,D306))*('Annahmen'!$D$145/12),0)</f>
      </c>
      <c r="E135" s="51">
        <f>IF(AND(21&gt;=1,21&lt;=ROUND(('Annahmen'!$E$146)*12,0)),(IF(21=1,'Annahmen'!$C$146,E306))*('Annahmen'!$D$146/12),0)</f>
      </c>
      <c r="F135" s="51">
        <f>IF(AND(21&gt;=1,21&lt;=ROUND(('Annahmen'!$E$147)*12,0)),(IF(21=1,'Annahmen'!$C$147,F306))*('Annahmen'!$D$147/12),0)</f>
      </c>
      <c r="G135" s="51">
        <f>IF(AND(21&gt;=1,21&lt;=ROUND(('Annahmen'!$E$148)*12,0)),(IF(21=1,'Annahmen'!$C$148,G306))*('Annahmen'!$D$148/12),0)</f>
      </c>
      <c r="H135" s="51">
        <f>IF(AND(21&gt;=1,21&lt;=ROUND(('Annahmen'!$E$149)*12,0)),(IF(21=1,'Annahmen'!$C$149,H306))*('Annahmen'!$D$149/12),0)</f>
      </c>
      <c r="I135" s="51">
        <f>IF(AND(21&gt;=1,21&lt;=ROUND(('Annahmen'!$E$150)*12,0)),(IF(21=1,'Annahmen'!$C$150,I306))*('Annahmen'!$D$150/12),0)</f>
      </c>
      <c r="J135" s="51">
        <f>IF(AND((20-(('Annahmen'!$I$155-2026)*12+'Annahmen'!$H$155-1)+1)&gt;=1,(20-(('Annahmen'!$I$155-2026)*12+'Annahmen'!$H$155-1)+1)&lt;=ROUND(('Annahmen'!$E$155)*12,0)),(IF((20-(('Annahmen'!$I$155-2026)*12+'Annahmen'!$H$155-1)+1)=1,'Annahmen'!$C$155,J306))*('Annahmen'!$D$155/12),0)</f>
      </c>
      <c r="K135" s="51">
        <f>IF(AND((20-(('Annahmen'!$I$156-2026)*12+'Annahmen'!$H$156-1)+1)&gt;=1,(20-(('Annahmen'!$I$156-2026)*12+'Annahmen'!$H$156-1)+1)&lt;=ROUND(('Annahmen'!$E$156)*12,0)),(IF((20-(('Annahmen'!$I$156-2026)*12+'Annahmen'!$H$156-1)+1)=1,'Annahmen'!$C$156,K306))*('Annahmen'!$D$156/12),0)</f>
      </c>
      <c r="L135" s="51">
        <f>IF(AND((20-(('Annahmen'!$I$157-2026)*12+'Annahmen'!$H$157-1)+1)&gt;=1,(20-(('Annahmen'!$I$157-2026)*12+'Annahmen'!$H$157-1)+1)&lt;=ROUND(('Annahmen'!$E$157)*12,0)),(IF((20-(('Annahmen'!$I$157-2026)*12+'Annahmen'!$H$157-1)+1)=1,'Annahmen'!$C$157,L306))*('Annahmen'!$D$157/12),0)</f>
      </c>
      <c r="M135" s="51">
        <f>IF(AND((20-(('Annahmen'!$I$158-2026)*12+'Annahmen'!$H$158-1)+1)&gt;=1,(20-(('Annahmen'!$I$158-2026)*12+'Annahmen'!$H$158-1)+1)&lt;=ROUND(('Annahmen'!$E$158)*12,0)),(IF((20-(('Annahmen'!$I$158-2026)*12+'Annahmen'!$H$158-1)+1)=1,'Annahmen'!$C$158,M306))*('Annahmen'!$D$158/12),0)</f>
      </c>
      <c r="N135" s="51">
        <f>IF(AND((20-(('Annahmen'!$I$159-2026)*12+'Annahmen'!$H$159-1)+1)&gt;=1,(20-(('Annahmen'!$I$159-2026)*12+'Annahmen'!$H$159-1)+1)&lt;=ROUND(('Annahmen'!$E$159)*12,0)),(IF((20-(('Annahmen'!$I$159-2026)*12+'Annahmen'!$H$159-1)+1)=1,'Annahmen'!$C$159,N306))*('Annahmen'!$D$159/12),0)</f>
      </c>
      <c r="O135" s="114">
        <f>SUM(C135:N135)</f>
      </c>
    </row>
    <row r="136" ht="15" customHeight="1" hidden="1" spans="2:15" x14ac:dyDescent="0.25" outlineLevel="1" collapsed="1">
      <c r="B136" s="113" t="s">
        <v>242</v>
      </c>
      <c r="C136" s="51">
        <f>IF(AND(22&gt;=1,22&lt;=ROUND(('Annahmen'!$E$144)*12,0)),(IF(22=1,'Annahmen'!$C$144,C307))*('Annahmen'!$D$144/12),0)</f>
      </c>
      <c r="D136" s="51">
        <f>IF(AND(22&gt;=1,22&lt;=ROUND(('Annahmen'!$E$145)*12,0)),(IF(22=1,'Annahmen'!$C$145,D307))*('Annahmen'!$D$145/12),0)</f>
      </c>
      <c r="E136" s="51">
        <f>IF(AND(22&gt;=1,22&lt;=ROUND(('Annahmen'!$E$146)*12,0)),(IF(22=1,'Annahmen'!$C$146,E307))*('Annahmen'!$D$146/12),0)</f>
      </c>
      <c r="F136" s="51">
        <f>IF(AND(22&gt;=1,22&lt;=ROUND(('Annahmen'!$E$147)*12,0)),(IF(22=1,'Annahmen'!$C$147,F307))*('Annahmen'!$D$147/12),0)</f>
      </c>
      <c r="G136" s="51">
        <f>IF(AND(22&gt;=1,22&lt;=ROUND(('Annahmen'!$E$148)*12,0)),(IF(22=1,'Annahmen'!$C$148,G307))*('Annahmen'!$D$148/12),0)</f>
      </c>
      <c r="H136" s="51">
        <f>IF(AND(22&gt;=1,22&lt;=ROUND(('Annahmen'!$E$149)*12,0)),(IF(22=1,'Annahmen'!$C$149,H307))*('Annahmen'!$D$149/12),0)</f>
      </c>
      <c r="I136" s="51">
        <f>IF(AND(22&gt;=1,22&lt;=ROUND(('Annahmen'!$E$150)*12,0)),(IF(22=1,'Annahmen'!$C$150,I307))*('Annahmen'!$D$150/12),0)</f>
      </c>
      <c r="J136" s="51">
        <f>IF(AND((21-(('Annahmen'!$I$155-2026)*12+'Annahmen'!$H$155-1)+1)&gt;=1,(21-(('Annahmen'!$I$155-2026)*12+'Annahmen'!$H$155-1)+1)&lt;=ROUND(('Annahmen'!$E$155)*12,0)),(IF((21-(('Annahmen'!$I$155-2026)*12+'Annahmen'!$H$155-1)+1)=1,'Annahmen'!$C$155,J307))*('Annahmen'!$D$155/12),0)</f>
      </c>
      <c r="K136" s="51">
        <f>IF(AND((21-(('Annahmen'!$I$156-2026)*12+'Annahmen'!$H$156-1)+1)&gt;=1,(21-(('Annahmen'!$I$156-2026)*12+'Annahmen'!$H$156-1)+1)&lt;=ROUND(('Annahmen'!$E$156)*12,0)),(IF((21-(('Annahmen'!$I$156-2026)*12+'Annahmen'!$H$156-1)+1)=1,'Annahmen'!$C$156,K307))*('Annahmen'!$D$156/12),0)</f>
      </c>
      <c r="L136" s="51">
        <f>IF(AND((21-(('Annahmen'!$I$157-2026)*12+'Annahmen'!$H$157-1)+1)&gt;=1,(21-(('Annahmen'!$I$157-2026)*12+'Annahmen'!$H$157-1)+1)&lt;=ROUND(('Annahmen'!$E$157)*12,0)),(IF((21-(('Annahmen'!$I$157-2026)*12+'Annahmen'!$H$157-1)+1)=1,'Annahmen'!$C$157,L307))*('Annahmen'!$D$157/12),0)</f>
      </c>
      <c r="M136" s="51">
        <f>IF(AND((21-(('Annahmen'!$I$158-2026)*12+'Annahmen'!$H$158-1)+1)&gt;=1,(21-(('Annahmen'!$I$158-2026)*12+'Annahmen'!$H$158-1)+1)&lt;=ROUND(('Annahmen'!$E$158)*12,0)),(IF((21-(('Annahmen'!$I$158-2026)*12+'Annahmen'!$H$158-1)+1)=1,'Annahmen'!$C$158,M307))*('Annahmen'!$D$158/12),0)</f>
      </c>
      <c r="N136" s="51">
        <f>IF(AND((21-(('Annahmen'!$I$159-2026)*12+'Annahmen'!$H$159-1)+1)&gt;=1,(21-(('Annahmen'!$I$159-2026)*12+'Annahmen'!$H$159-1)+1)&lt;=ROUND(('Annahmen'!$E$159)*12,0)),(IF((21-(('Annahmen'!$I$159-2026)*12+'Annahmen'!$H$159-1)+1)=1,'Annahmen'!$C$159,N307))*('Annahmen'!$D$159/12),0)</f>
      </c>
      <c r="O136" s="114">
        <f>SUM(C136:N136)</f>
      </c>
    </row>
    <row r="137" ht="15" customHeight="1" hidden="1" spans="2:15" x14ac:dyDescent="0.25" outlineLevel="1" collapsed="1">
      <c r="B137" s="113" t="s">
        <v>243</v>
      </c>
      <c r="C137" s="51">
        <f>IF(AND(23&gt;=1,23&lt;=ROUND(('Annahmen'!$E$144)*12,0)),(IF(23=1,'Annahmen'!$C$144,C308))*('Annahmen'!$D$144/12),0)</f>
      </c>
      <c r="D137" s="51">
        <f>IF(AND(23&gt;=1,23&lt;=ROUND(('Annahmen'!$E$145)*12,0)),(IF(23=1,'Annahmen'!$C$145,D308))*('Annahmen'!$D$145/12),0)</f>
      </c>
      <c r="E137" s="51">
        <f>IF(AND(23&gt;=1,23&lt;=ROUND(('Annahmen'!$E$146)*12,0)),(IF(23=1,'Annahmen'!$C$146,E308))*('Annahmen'!$D$146/12),0)</f>
      </c>
      <c r="F137" s="51">
        <f>IF(AND(23&gt;=1,23&lt;=ROUND(('Annahmen'!$E$147)*12,0)),(IF(23=1,'Annahmen'!$C$147,F308))*('Annahmen'!$D$147/12),0)</f>
      </c>
      <c r="G137" s="51">
        <f>IF(AND(23&gt;=1,23&lt;=ROUND(('Annahmen'!$E$148)*12,0)),(IF(23=1,'Annahmen'!$C$148,G308))*('Annahmen'!$D$148/12),0)</f>
      </c>
      <c r="H137" s="51">
        <f>IF(AND(23&gt;=1,23&lt;=ROUND(('Annahmen'!$E$149)*12,0)),(IF(23=1,'Annahmen'!$C$149,H308))*('Annahmen'!$D$149/12),0)</f>
      </c>
      <c r="I137" s="51">
        <f>IF(AND(23&gt;=1,23&lt;=ROUND(('Annahmen'!$E$150)*12,0)),(IF(23=1,'Annahmen'!$C$150,I308))*('Annahmen'!$D$150/12),0)</f>
      </c>
      <c r="J137" s="51">
        <f>IF(AND((22-(('Annahmen'!$I$155-2026)*12+'Annahmen'!$H$155-1)+1)&gt;=1,(22-(('Annahmen'!$I$155-2026)*12+'Annahmen'!$H$155-1)+1)&lt;=ROUND(('Annahmen'!$E$155)*12,0)),(IF((22-(('Annahmen'!$I$155-2026)*12+'Annahmen'!$H$155-1)+1)=1,'Annahmen'!$C$155,J308))*('Annahmen'!$D$155/12),0)</f>
      </c>
      <c r="K137" s="51">
        <f>IF(AND((22-(('Annahmen'!$I$156-2026)*12+'Annahmen'!$H$156-1)+1)&gt;=1,(22-(('Annahmen'!$I$156-2026)*12+'Annahmen'!$H$156-1)+1)&lt;=ROUND(('Annahmen'!$E$156)*12,0)),(IF((22-(('Annahmen'!$I$156-2026)*12+'Annahmen'!$H$156-1)+1)=1,'Annahmen'!$C$156,K308))*('Annahmen'!$D$156/12),0)</f>
      </c>
      <c r="L137" s="51">
        <f>IF(AND((22-(('Annahmen'!$I$157-2026)*12+'Annahmen'!$H$157-1)+1)&gt;=1,(22-(('Annahmen'!$I$157-2026)*12+'Annahmen'!$H$157-1)+1)&lt;=ROUND(('Annahmen'!$E$157)*12,0)),(IF((22-(('Annahmen'!$I$157-2026)*12+'Annahmen'!$H$157-1)+1)=1,'Annahmen'!$C$157,L308))*('Annahmen'!$D$157/12),0)</f>
      </c>
      <c r="M137" s="51">
        <f>IF(AND((22-(('Annahmen'!$I$158-2026)*12+'Annahmen'!$H$158-1)+1)&gt;=1,(22-(('Annahmen'!$I$158-2026)*12+'Annahmen'!$H$158-1)+1)&lt;=ROUND(('Annahmen'!$E$158)*12,0)),(IF((22-(('Annahmen'!$I$158-2026)*12+'Annahmen'!$H$158-1)+1)=1,'Annahmen'!$C$158,M308))*('Annahmen'!$D$158/12),0)</f>
      </c>
      <c r="N137" s="51">
        <f>IF(AND((22-(('Annahmen'!$I$159-2026)*12+'Annahmen'!$H$159-1)+1)&gt;=1,(22-(('Annahmen'!$I$159-2026)*12+'Annahmen'!$H$159-1)+1)&lt;=ROUND(('Annahmen'!$E$159)*12,0)),(IF((22-(('Annahmen'!$I$159-2026)*12+'Annahmen'!$H$159-1)+1)=1,'Annahmen'!$C$159,N308))*('Annahmen'!$D$159/12),0)</f>
      </c>
      <c r="O137" s="114">
        <f>SUM(C137:N137)</f>
      </c>
    </row>
    <row r="138" ht="15" customHeight="1" hidden="1" spans="2:15" x14ac:dyDescent="0.25" outlineLevel="1" collapsed="1">
      <c r="B138" s="113" t="s">
        <v>244</v>
      </c>
      <c r="C138" s="51">
        <f>IF(AND(24&gt;=1,24&lt;=ROUND(('Annahmen'!$E$144)*12,0)),(IF(24=1,'Annahmen'!$C$144,C309))*('Annahmen'!$D$144/12),0)</f>
      </c>
      <c r="D138" s="51">
        <f>IF(AND(24&gt;=1,24&lt;=ROUND(('Annahmen'!$E$145)*12,0)),(IF(24=1,'Annahmen'!$C$145,D309))*('Annahmen'!$D$145/12),0)</f>
      </c>
      <c r="E138" s="51">
        <f>IF(AND(24&gt;=1,24&lt;=ROUND(('Annahmen'!$E$146)*12,0)),(IF(24=1,'Annahmen'!$C$146,E309))*('Annahmen'!$D$146/12),0)</f>
      </c>
      <c r="F138" s="51">
        <f>IF(AND(24&gt;=1,24&lt;=ROUND(('Annahmen'!$E$147)*12,0)),(IF(24=1,'Annahmen'!$C$147,F309))*('Annahmen'!$D$147/12),0)</f>
      </c>
      <c r="G138" s="51">
        <f>IF(AND(24&gt;=1,24&lt;=ROUND(('Annahmen'!$E$148)*12,0)),(IF(24=1,'Annahmen'!$C$148,G309))*('Annahmen'!$D$148/12),0)</f>
      </c>
      <c r="H138" s="51">
        <f>IF(AND(24&gt;=1,24&lt;=ROUND(('Annahmen'!$E$149)*12,0)),(IF(24=1,'Annahmen'!$C$149,H309))*('Annahmen'!$D$149/12),0)</f>
      </c>
      <c r="I138" s="51">
        <f>IF(AND(24&gt;=1,24&lt;=ROUND(('Annahmen'!$E$150)*12,0)),(IF(24=1,'Annahmen'!$C$150,I309))*('Annahmen'!$D$150/12),0)</f>
      </c>
      <c r="J138" s="51">
        <f>IF(AND((23-(('Annahmen'!$I$155-2026)*12+'Annahmen'!$H$155-1)+1)&gt;=1,(23-(('Annahmen'!$I$155-2026)*12+'Annahmen'!$H$155-1)+1)&lt;=ROUND(('Annahmen'!$E$155)*12,0)),(IF((23-(('Annahmen'!$I$155-2026)*12+'Annahmen'!$H$155-1)+1)=1,'Annahmen'!$C$155,J309))*('Annahmen'!$D$155/12),0)</f>
      </c>
      <c r="K138" s="51">
        <f>IF(AND((23-(('Annahmen'!$I$156-2026)*12+'Annahmen'!$H$156-1)+1)&gt;=1,(23-(('Annahmen'!$I$156-2026)*12+'Annahmen'!$H$156-1)+1)&lt;=ROUND(('Annahmen'!$E$156)*12,0)),(IF((23-(('Annahmen'!$I$156-2026)*12+'Annahmen'!$H$156-1)+1)=1,'Annahmen'!$C$156,K309))*('Annahmen'!$D$156/12),0)</f>
      </c>
      <c r="L138" s="51">
        <f>IF(AND((23-(('Annahmen'!$I$157-2026)*12+'Annahmen'!$H$157-1)+1)&gt;=1,(23-(('Annahmen'!$I$157-2026)*12+'Annahmen'!$H$157-1)+1)&lt;=ROUND(('Annahmen'!$E$157)*12,0)),(IF((23-(('Annahmen'!$I$157-2026)*12+'Annahmen'!$H$157-1)+1)=1,'Annahmen'!$C$157,L309))*('Annahmen'!$D$157/12),0)</f>
      </c>
      <c r="M138" s="51">
        <f>IF(AND((23-(('Annahmen'!$I$158-2026)*12+'Annahmen'!$H$158-1)+1)&gt;=1,(23-(('Annahmen'!$I$158-2026)*12+'Annahmen'!$H$158-1)+1)&lt;=ROUND(('Annahmen'!$E$158)*12,0)),(IF((23-(('Annahmen'!$I$158-2026)*12+'Annahmen'!$H$158-1)+1)=1,'Annahmen'!$C$158,M309))*('Annahmen'!$D$158/12),0)</f>
      </c>
      <c r="N138" s="51">
        <f>IF(AND((23-(('Annahmen'!$I$159-2026)*12+'Annahmen'!$H$159-1)+1)&gt;=1,(23-(('Annahmen'!$I$159-2026)*12+'Annahmen'!$H$159-1)+1)&lt;=ROUND(('Annahmen'!$E$159)*12,0)),(IF((23-(('Annahmen'!$I$159-2026)*12+'Annahmen'!$H$159-1)+1)=1,'Annahmen'!$C$159,N309))*('Annahmen'!$D$159/12),0)</f>
      </c>
      <c r="O138" s="114">
        <f>SUM(C138:N138)</f>
      </c>
    </row>
    <row r="139" ht="15" customHeight="1" hidden="1" spans="2:15" x14ac:dyDescent="0.25" outlineLevel="1" collapsed="1">
      <c r="B139" s="115" t="s">
        <v>245</v>
      </c>
      <c r="C139" s="23">
        <f>SUM(C127:C138)</f>
      </c>
      <c r="D139" s="23">
        <f>SUM(D127:D138)</f>
      </c>
      <c r="E139" s="23">
        <f>SUM(E127:E138)</f>
      </c>
      <c r="F139" s="23">
        <f>SUM(F127:F138)</f>
      </c>
      <c r="G139" s="23">
        <f>SUM(G127:G138)</f>
      </c>
      <c r="H139" s="23">
        <f>SUM(H127:H138)</f>
      </c>
      <c r="I139" s="23">
        <f>SUM(I127:I138)</f>
      </c>
      <c r="J139" s="23">
        <f>SUM(J127:J138)</f>
      </c>
      <c r="K139" s="23">
        <f>SUM(K127:K138)</f>
      </c>
      <c r="L139" s="23">
        <f>SUM(L127:L138)</f>
      </c>
      <c r="M139" s="23">
        <f>SUM(M127:M138)</f>
      </c>
      <c r="N139" s="23">
        <f>SUM(N127:N138)</f>
      </c>
      <c r="O139" s="116">
        <f>SUM(O127:O138)</f>
      </c>
    </row>
    <row r="140" ht="15" customHeight="1" hidden="1" spans="2:15" x14ac:dyDescent="0.25" outlineLevel="1" collapsed="1">
      <c r="B140" s="113" t="s">
        <v>246</v>
      </c>
      <c r="C140" s="51">
        <f>IF(AND(25&gt;=1,25&lt;=ROUND(('Annahmen'!$E$144)*12,0)),(IF(25=1,'Annahmen'!$C$144,C310))*('Annahmen'!$D$144/12),0)</f>
      </c>
      <c r="D140" s="51">
        <f>IF(AND(25&gt;=1,25&lt;=ROUND(('Annahmen'!$E$145)*12,0)),(IF(25=1,'Annahmen'!$C$145,D310))*('Annahmen'!$D$145/12),0)</f>
      </c>
      <c r="E140" s="51">
        <f>IF(AND(25&gt;=1,25&lt;=ROUND(('Annahmen'!$E$146)*12,0)),(IF(25=1,'Annahmen'!$C$146,E310))*('Annahmen'!$D$146/12),0)</f>
      </c>
      <c r="F140" s="51">
        <f>IF(AND(25&gt;=1,25&lt;=ROUND(('Annahmen'!$E$147)*12,0)),(IF(25=1,'Annahmen'!$C$147,F310))*('Annahmen'!$D$147/12),0)</f>
      </c>
      <c r="G140" s="51">
        <f>IF(AND(25&gt;=1,25&lt;=ROUND(('Annahmen'!$E$148)*12,0)),(IF(25=1,'Annahmen'!$C$148,G310))*('Annahmen'!$D$148/12),0)</f>
      </c>
      <c r="H140" s="51">
        <f>IF(AND(25&gt;=1,25&lt;=ROUND(('Annahmen'!$E$149)*12,0)),(IF(25=1,'Annahmen'!$C$149,H310))*('Annahmen'!$D$149/12),0)</f>
      </c>
      <c r="I140" s="51">
        <f>IF(AND(25&gt;=1,25&lt;=ROUND(('Annahmen'!$E$150)*12,0)),(IF(25=1,'Annahmen'!$C$150,I310))*('Annahmen'!$D$150/12),0)</f>
      </c>
      <c r="J140" s="51">
        <f>IF(AND((24-(('Annahmen'!$I$155-2026)*12+'Annahmen'!$H$155-1)+1)&gt;=1,(24-(('Annahmen'!$I$155-2026)*12+'Annahmen'!$H$155-1)+1)&lt;=ROUND(('Annahmen'!$E$155)*12,0)),(IF((24-(('Annahmen'!$I$155-2026)*12+'Annahmen'!$H$155-1)+1)=1,'Annahmen'!$C$155,J310))*('Annahmen'!$D$155/12),0)</f>
      </c>
      <c r="K140" s="51">
        <f>IF(AND((24-(('Annahmen'!$I$156-2026)*12+'Annahmen'!$H$156-1)+1)&gt;=1,(24-(('Annahmen'!$I$156-2026)*12+'Annahmen'!$H$156-1)+1)&lt;=ROUND(('Annahmen'!$E$156)*12,0)),(IF((24-(('Annahmen'!$I$156-2026)*12+'Annahmen'!$H$156-1)+1)=1,'Annahmen'!$C$156,K310))*('Annahmen'!$D$156/12),0)</f>
      </c>
      <c r="L140" s="51">
        <f>IF(AND((24-(('Annahmen'!$I$157-2026)*12+'Annahmen'!$H$157-1)+1)&gt;=1,(24-(('Annahmen'!$I$157-2026)*12+'Annahmen'!$H$157-1)+1)&lt;=ROUND(('Annahmen'!$E$157)*12,0)),(IF((24-(('Annahmen'!$I$157-2026)*12+'Annahmen'!$H$157-1)+1)=1,'Annahmen'!$C$157,L310))*('Annahmen'!$D$157/12),0)</f>
      </c>
      <c r="M140" s="51">
        <f>IF(AND((24-(('Annahmen'!$I$158-2026)*12+'Annahmen'!$H$158-1)+1)&gt;=1,(24-(('Annahmen'!$I$158-2026)*12+'Annahmen'!$H$158-1)+1)&lt;=ROUND(('Annahmen'!$E$158)*12,0)),(IF((24-(('Annahmen'!$I$158-2026)*12+'Annahmen'!$H$158-1)+1)=1,'Annahmen'!$C$158,M310))*('Annahmen'!$D$158/12),0)</f>
      </c>
      <c r="N140" s="51">
        <f>IF(AND((24-(('Annahmen'!$I$159-2026)*12+'Annahmen'!$H$159-1)+1)&gt;=1,(24-(('Annahmen'!$I$159-2026)*12+'Annahmen'!$H$159-1)+1)&lt;=ROUND(('Annahmen'!$E$159)*12,0)),(IF((24-(('Annahmen'!$I$159-2026)*12+'Annahmen'!$H$159-1)+1)=1,'Annahmen'!$C$159,N310))*('Annahmen'!$D$159/12),0)</f>
      </c>
      <c r="O140" s="114">
        <f>SUM(C140:N140)</f>
      </c>
    </row>
    <row r="141" ht="15" customHeight="1" hidden="1" spans="2:15" x14ac:dyDescent="0.25" outlineLevel="1" collapsed="1">
      <c r="B141" s="113" t="s">
        <v>247</v>
      </c>
      <c r="C141" s="51">
        <f>IF(AND(26&gt;=1,26&lt;=ROUND(('Annahmen'!$E$144)*12,0)),(IF(26=1,'Annahmen'!$C$144,C312))*('Annahmen'!$D$144/12),0)</f>
      </c>
      <c r="D141" s="51">
        <f>IF(AND(26&gt;=1,26&lt;=ROUND(('Annahmen'!$E$145)*12,0)),(IF(26=1,'Annahmen'!$C$145,D312))*('Annahmen'!$D$145/12),0)</f>
      </c>
      <c r="E141" s="51">
        <f>IF(AND(26&gt;=1,26&lt;=ROUND(('Annahmen'!$E$146)*12,0)),(IF(26=1,'Annahmen'!$C$146,E312))*('Annahmen'!$D$146/12),0)</f>
      </c>
      <c r="F141" s="51">
        <f>IF(AND(26&gt;=1,26&lt;=ROUND(('Annahmen'!$E$147)*12,0)),(IF(26=1,'Annahmen'!$C$147,F312))*('Annahmen'!$D$147/12),0)</f>
      </c>
      <c r="G141" s="51">
        <f>IF(AND(26&gt;=1,26&lt;=ROUND(('Annahmen'!$E$148)*12,0)),(IF(26=1,'Annahmen'!$C$148,G312))*('Annahmen'!$D$148/12),0)</f>
      </c>
      <c r="H141" s="51">
        <f>IF(AND(26&gt;=1,26&lt;=ROUND(('Annahmen'!$E$149)*12,0)),(IF(26=1,'Annahmen'!$C$149,H312))*('Annahmen'!$D$149/12),0)</f>
      </c>
      <c r="I141" s="51">
        <f>IF(AND(26&gt;=1,26&lt;=ROUND(('Annahmen'!$E$150)*12,0)),(IF(26=1,'Annahmen'!$C$150,I312))*('Annahmen'!$D$150/12),0)</f>
      </c>
      <c r="J141" s="51">
        <f>IF(AND((25-(('Annahmen'!$I$155-2026)*12+'Annahmen'!$H$155-1)+1)&gt;=1,(25-(('Annahmen'!$I$155-2026)*12+'Annahmen'!$H$155-1)+1)&lt;=ROUND(('Annahmen'!$E$155)*12,0)),(IF((25-(('Annahmen'!$I$155-2026)*12+'Annahmen'!$H$155-1)+1)=1,'Annahmen'!$C$155,J312))*('Annahmen'!$D$155/12),0)</f>
      </c>
      <c r="K141" s="51">
        <f>IF(AND((25-(('Annahmen'!$I$156-2026)*12+'Annahmen'!$H$156-1)+1)&gt;=1,(25-(('Annahmen'!$I$156-2026)*12+'Annahmen'!$H$156-1)+1)&lt;=ROUND(('Annahmen'!$E$156)*12,0)),(IF((25-(('Annahmen'!$I$156-2026)*12+'Annahmen'!$H$156-1)+1)=1,'Annahmen'!$C$156,K312))*('Annahmen'!$D$156/12),0)</f>
      </c>
      <c r="L141" s="51">
        <f>IF(AND((25-(('Annahmen'!$I$157-2026)*12+'Annahmen'!$H$157-1)+1)&gt;=1,(25-(('Annahmen'!$I$157-2026)*12+'Annahmen'!$H$157-1)+1)&lt;=ROUND(('Annahmen'!$E$157)*12,0)),(IF((25-(('Annahmen'!$I$157-2026)*12+'Annahmen'!$H$157-1)+1)=1,'Annahmen'!$C$157,L312))*('Annahmen'!$D$157/12),0)</f>
      </c>
      <c r="M141" s="51">
        <f>IF(AND((25-(('Annahmen'!$I$158-2026)*12+'Annahmen'!$H$158-1)+1)&gt;=1,(25-(('Annahmen'!$I$158-2026)*12+'Annahmen'!$H$158-1)+1)&lt;=ROUND(('Annahmen'!$E$158)*12,0)),(IF((25-(('Annahmen'!$I$158-2026)*12+'Annahmen'!$H$158-1)+1)=1,'Annahmen'!$C$158,M312))*('Annahmen'!$D$158/12),0)</f>
      </c>
      <c r="N141" s="51">
        <f>IF(AND((25-(('Annahmen'!$I$159-2026)*12+'Annahmen'!$H$159-1)+1)&gt;=1,(25-(('Annahmen'!$I$159-2026)*12+'Annahmen'!$H$159-1)+1)&lt;=ROUND(('Annahmen'!$E$159)*12,0)),(IF((25-(('Annahmen'!$I$159-2026)*12+'Annahmen'!$H$159-1)+1)=1,'Annahmen'!$C$159,N312))*('Annahmen'!$D$159/12),0)</f>
      </c>
      <c r="O141" s="114">
        <f>SUM(C141:N141)</f>
      </c>
    </row>
    <row r="142" ht="15" customHeight="1" hidden="1" spans="2:15" x14ac:dyDescent="0.25" outlineLevel="1" collapsed="1">
      <c r="B142" s="113" t="s">
        <v>248</v>
      </c>
      <c r="C142" s="51">
        <f>IF(AND(27&gt;=1,27&lt;=ROUND(('Annahmen'!$E$144)*12,0)),(IF(27=1,'Annahmen'!$C$144,C313))*('Annahmen'!$D$144/12),0)</f>
      </c>
      <c r="D142" s="51">
        <f>IF(AND(27&gt;=1,27&lt;=ROUND(('Annahmen'!$E$145)*12,0)),(IF(27=1,'Annahmen'!$C$145,D313))*('Annahmen'!$D$145/12),0)</f>
      </c>
      <c r="E142" s="51">
        <f>IF(AND(27&gt;=1,27&lt;=ROUND(('Annahmen'!$E$146)*12,0)),(IF(27=1,'Annahmen'!$C$146,E313))*('Annahmen'!$D$146/12),0)</f>
      </c>
      <c r="F142" s="51">
        <f>IF(AND(27&gt;=1,27&lt;=ROUND(('Annahmen'!$E$147)*12,0)),(IF(27=1,'Annahmen'!$C$147,F313))*('Annahmen'!$D$147/12),0)</f>
      </c>
      <c r="G142" s="51">
        <f>IF(AND(27&gt;=1,27&lt;=ROUND(('Annahmen'!$E$148)*12,0)),(IF(27=1,'Annahmen'!$C$148,G313))*('Annahmen'!$D$148/12),0)</f>
      </c>
      <c r="H142" s="51">
        <f>IF(AND(27&gt;=1,27&lt;=ROUND(('Annahmen'!$E$149)*12,0)),(IF(27=1,'Annahmen'!$C$149,H313))*('Annahmen'!$D$149/12),0)</f>
      </c>
      <c r="I142" s="51">
        <f>IF(AND(27&gt;=1,27&lt;=ROUND(('Annahmen'!$E$150)*12,0)),(IF(27=1,'Annahmen'!$C$150,I313))*('Annahmen'!$D$150/12),0)</f>
      </c>
      <c r="J142" s="51">
        <f>IF(AND((26-(('Annahmen'!$I$155-2026)*12+'Annahmen'!$H$155-1)+1)&gt;=1,(26-(('Annahmen'!$I$155-2026)*12+'Annahmen'!$H$155-1)+1)&lt;=ROUND(('Annahmen'!$E$155)*12,0)),(IF((26-(('Annahmen'!$I$155-2026)*12+'Annahmen'!$H$155-1)+1)=1,'Annahmen'!$C$155,J313))*('Annahmen'!$D$155/12),0)</f>
      </c>
      <c r="K142" s="51">
        <f>IF(AND((26-(('Annahmen'!$I$156-2026)*12+'Annahmen'!$H$156-1)+1)&gt;=1,(26-(('Annahmen'!$I$156-2026)*12+'Annahmen'!$H$156-1)+1)&lt;=ROUND(('Annahmen'!$E$156)*12,0)),(IF((26-(('Annahmen'!$I$156-2026)*12+'Annahmen'!$H$156-1)+1)=1,'Annahmen'!$C$156,K313))*('Annahmen'!$D$156/12),0)</f>
      </c>
      <c r="L142" s="51">
        <f>IF(AND((26-(('Annahmen'!$I$157-2026)*12+'Annahmen'!$H$157-1)+1)&gt;=1,(26-(('Annahmen'!$I$157-2026)*12+'Annahmen'!$H$157-1)+1)&lt;=ROUND(('Annahmen'!$E$157)*12,0)),(IF((26-(('Annahmen'!$I$157-2026)*12+'Annahmen'!$H$157-1)+1)=1,'Annahmen'!$C$157,L313))*('Annahmen'!$D$157/12),0)</f>
      </c>
      <c r="M142" s="51">
        <f>IF(AND((26-(('Annahmen'!$I$158-2026)*12+'Annahmen'!$H$158-1)+1)&gt;=1,(26-(('Annahmen'!$I$158-2026)*12+'Annahmen'!$H$158-1)+1)&lt;=ROUND(('Annahmen'!$E$158)*12,0)),(IF((26-(('Annahmen'!$I$158-2026)*12+'Annahmen'!$H$158-1)+1)=1,'Annahmen'!$C$158,M313))*('Annahmen'!$D$158/12),0)</f>
      </c>
      <c r="N142" s="51">
        <f>IF(AND((26-(('Annahmen'!$I$159-2026)*12+'Annahmen'!$H$159-1)+1)&gt;=1,(26-(('Annahmen'!$I$159-2026)*12+'Annahmen'!$H$159-1)+1)&lt;=ROUND(('Annahmen'!$E$159)*12,0)),(IF((26-(('Annahmen'!$I$159-2026)*12+'Annahmen'!$H$159-1)+1)=1,'Annahmen'!$C$159,N313))*('Annahmen'!$D$159/12),0)</f>
      </c>
      <c r="O142" s="114">
        <f>SUM(C142:N142)</f>
      </c>
    </row>
    <row r="143" ht="15" customHeight="1" hidden="1" spans="2:15" x14ac:dyDescent="0.25" outlineLevel="1" collapsed="1">
      <c r="B143" s="113" t="s">
        <v>249</v>
      </c>
      <c r="C143" s="51">
        <f>IF(AND(28&gt;=1,28&lt;=ROUND(('Annahmen'!$E$144)*12,0)),(IF(28=1,'Annahmen'!$C$144,C314))*('Annahmen'!$D$144/12),0)</f>
      </c>
      <c r="D143" s="51">
        <f>IF(AND(28&gt;=1,28&lt;=ROUND(('Annahmen'!$E$145)*12,0)),(IF(28=1,'Annahmen'!$C$145,D314))*('Annahmen'!$D$145/12),0)</f>
      </c>
      <c r="E143" s="51">
        <f>IF(AND(28&gt;=1,28&lt;=ROUND(('Annahmen'!$E$146)*12,0)),(IF(28=1,'Annahmen'!$C$146,E314))*('Annahmen'!$D$146/12),0)</f>
      </c>
      <c r="F143" s="51">
        <f>IF(AND(28&gt;=1,28&lt;=ROUND(('Annahmen'!$E$147)*12,0)),(IF(28=1,'Annahmen'!$C$147,F314))*('Annahmen'!$D$147/12),0)</f>
      </c>
      <c r="G143" s="51">
        <f>IF(AND(28&gt;=1,28&lt;=ROUND(('Annahmen'!$E$148)*12,0)),(IF(28=1,'Annahmen'!$C$148,G314))*('Annahmen'!$D$148/12),0)</f>
      </c>
      <c r="H143" s="51">
        <f>IF(AND(28&gt;=1,28&lt;=ROUND(('Annahmen'!$E$149)*12,0)),(IF(28=1,'Annahmen'!$C$149,H314))*('Annahmen'!$D$149/12),0)</f>
      </c>
      <c r="I143" s="51">
        <f>IF(AND(28&gt;=1,28&lt;=ROUND(('Annahmen'!$E$150)*12,0)),(IF(28=1,'Annahmen'!$C$150,I314))*('Annahmen'!$D$150/12),0)</f>
      </c>
      <c r="J143" s="51">
        <f>IF(AND((27-(('Annahmen'!$I$155-2026)*12+'Annahmen'!$H$155-1)+1)&gt;=1,(27-(('Annahmen'!$I$155-2026)*12+'Annahmen'!$H$155-1)+1)&lt;=ROUND(('Annahmen'!$E$155)*12,0)),(IF((27-(('Annahmen'!$I$155-2026)*12+'Annahmen'!$H$155-1)+1)=1,'Annahmen'!$C$155,J314))*('Annahmen'!$D$155/12),0)</f>
      </c>
      <c r="K143" s="51">
        <f>IF(AND((27-(('Annahmen'!$I$156-2026)*12+'Annahmen'!$H$156-1)+1)&gt;=1,(27-(('Annahmen'!$I$156-2026)*12+'Annahmen'!$H$156-1)+1)&lt;=ROUND(('Annahmen'!$E$156)*12,0)),(IF((27-(('Annahmen'!$I$156-2026)*12+'Annahmen'!$H$156-1)+1)=1,'Annahmen'!$C$156,K314))*('Annahmen'!$D$156/12),0)</f>
      </c>
      <c r="L143" s="51">
        <f>IF(AND((27-(('Annahmen'!$I$157-2026)*12+'Annahmen'!$H$157-1)+1)&gt;=1,(27-(('Annahmen'!$I$157-2026)*12+'Annahmen'!$H$157-1)+1)&lt;=ROUND(('Annahmen'!$E$157)*12,0)),(IF((27-(('Annahmen'!$I$157-2026)*12+'Annahmen'!$H$157-1)+1)=1,'Annahmen'!$C$157,L314))*('Annahmen'!$D$157/12),0)</f>
      </c>
      <c r="M143" s="51">
        <f>IF(AND((27-(('Annahmen'!$I$158-2026)*12+'Annahmen'!$H$158-1)+1)&gt;=1,(27-(('Annahmen'!$I$158-2026)*12+'Annahmen'!$H$158-1)+1)&lt;=ROUND(('Annahmen'!$E$158)*12,0)),(IF((27-(('Annahmen'!$I$158-2026)*12+'Annahmen'!$H$158-1)+1)=1,'Annahmen'!$C$158,M314))*('Annahmen'!$D$158/12),0)</f>
      </c>
      <c r="N143" s="51">
        <f>IF(AND((27-(('Annahmen'!$I$159-2026)*12+'Annahmen'!$H$159-1)+1)&gt;=1,(27-(('Annahmen'!$I$159-2026)*12+'Annahmen'!$H$159-1)+1)&lt;=ROUND(('Annahmen'!$E$159)*12,0)),(IF((27-(('Annahmen'!$I$159-2026)*12+'Annahmen'!$H$159-1)+1)=1,'Annahmen'!$C$159,N314))*('Annahmen'!$D$159/12),0)</f>
      </c>
      <c r="O143" s="114">
        <f>SUM(C143:N143)</f>
      </c>
    </row>
    <row r="144" ht="15" customHeight="1" hidden="1" spans="2:15" x14ac:dyDescent="0.25" outlineLevel="1" collapsed="1">
      <c r="B144" s="113" t="s">
        <v>250</v>
      </c>
      <c r="C144" s="51">
        <f>IF(AND(29&gt;=1,29&lt;=ROUND(('Annahmen'!$E$144)*12,0)),(IF(29=1,'Annahmen'!$C$144,C315))*('Annahmen'!$D$144/12),0)</f>
      </c>
      <c r="D144" s="51">
        <f>IF(AND(29&gt;=1,29&lt;=ROUND(('Annahmen'!$E$145)*12,0)),(IF(29=1,'Annahmen'!$C$145,D315))*('Annahmen'!$D$145/12),0)</f>
      </c>
      <c r="E144" s="51">
        <f>IF(AND(29&gt;=1,29&lt;=ROUND(('Annahmen'!$E$146)*12,0)),(IF(29=1,'Annahmen'!$C$146,E315))*('Annahmen'!$D$146/12),0)</f>
      </c>
      <c r="F144" s="51">
        <f>IF(AND(29&gt;=1,29&lt;=ROUND(('Annahmen'!$E$147)*12,0)),(IF(29=1,'Annahmen'!$C$147,F315))*('Annahmen'!$D$147/12),0)</f>
      </c>
      <c r="G144" s="51">
        <f>IF(AND(29&gt;=1,29&lt;=ROUND(('Annahmen'!$E$148)*12,0)),(IF(29=1,'Annahmen'!$C$148,G315))*('Annahmen'!$D$148/12),0)</f>
      </c>
      <c r="H144" s="51">
        <f>IF(AND(29&gt;=1,29&lt;=ROUND(('Annahmen'!$E$149)*12,0)),(IF(29=1,'Annahmen'!$C$149,H315))*('Annahmen'!$D$149/12),0)</f>
      </c>
      <c r="I144" s="51">
        <f>IF(AND(29&gt;=1,29&lt;=ROUND(('Annahmen'!$E$150)*12,0)),(IF(29=1,'Annahmen'!$C$150,I315))*('Annahmen'!$D$150/12),0)</f>
      </c>
      <c r="J144" s="51">
        <f>IF(AND((28-(('Annahmen'!$I$155-2026)*12+'Annahmen'!$H$155-1)+1)&gt;=1,(28-(('Annahmen'!$I$155-2026)*12+'Annahmen'!$H$155-1)+1)&lt;=ROUND(('Annahmen'!$E$155)*12,0)),(IF((28-(('Annahmen'!$I$155-2026)*12+'Annahmen'!$H$155-1)+1)=1,'Annahmen'!$C$155,J315))*('Annahmen'!$D$155/12),0)</f>
      </c>
      <c r="K144" s="51">
        <f>IF(AND((28-(('Annahmen'!$I$156-2026)*12+'Annahmen'!$H$156-1)+1)&gt;=1,(28-(('Annahmen'!$I$156-2026)*12+'Annahmen'!$H$156-1)+1)&lt;=ROUND(('Annahmen'!$E$156)*12,0)),(IF((28-(('Annahmen'!$I$156-2026)*12+'Annahmen'!$H$156-1)+1)=1,'Annahmen'!$C$156,K315))*('Annahmen'!$D$156/12),0)</f>
      </c>
      <c r="L144" s="51">
        <f>IF(AND((28-(('Annahmen'!$I$157-2026)*12+'Annahmen'!$H$157-1)+1)&gt;=1,(28-(('Annahmen'!$I$157-2026)*12+'Annahmen'!$H$157-1)+1)&lt;=ROUND(('Annahmen'!$E$157)*12,0)),(IF((28-(('Annahmen'!$I$157-2026)*12+'Annahmen'!$H$157-1)+1)=1,'Annahmen'!$C$157,L315))*('Annahmen'!$D$157/12),0)</f>
      </c>
      <c r="M144" s="51">
        <f>IF(AND((28-(('Annahmen'!$I$158-2026)*12+'Annahmen'!$H$158-1)+1)&gt;=1,(28-(('Annahmen'!$I$158-2026)*12+'Annahmen'!$H$158-1)+1)&lt;=ROUND(('Annahmen'!$E$158)*12,0)),(IF((28-(('Annahmen'!$I$158-2026)*12+'Annahmen'!$H$158-1)+1)=1,'Annahmen'!$C$158,M315))*('Annahmen'!$D$158/12),0)</f>
      </c>
      <c r="N144" s="51">
        <f>IF(AND((28-(('Annahmen'!$I$159-2026)*12+'Annahmen'!$H$159-1)+1)&gt;=1,(28-(('Annahmen'!$I$159-2026)*12+'Annahmen'!$H$159-1)+1)&lt;=ROUND(('Annahmen'!$E$159)*12,0)),(IF((28-(('Annahmen'!$I$159-2026)*12+'Annahmen'!$H$159-1)+1)=1,'Annahmen'!$C$159,N315))*('Annahmen'!$D$159/12),0)</f>
      </c>
      <c r="O144" s="114">
        <f>SUM(C144:N144)</f>
      </c>
    </row>
    <row r="145" ht="15" customHeight="1" hidden="1" spans="2:15" x14ac:dyDescent="0.25" outlineLevel="1" collapsed="1">
      <c r="B145" s="113" t="s">
        <v>251</v>
      </c>
      <c r="C145" s="51">
        <f>IF(AND(30&gt;=1,30&lt;=ROUND(('Annahmen'!$E$144)*12,0)),(IF(30=1,'Annahmen'!$C$144,C316))*('Annahmen'!$D$144/12),0)</f>
      </c>
      <c r="D145" s="51">
        <f>IF(AND(30&gt;=1,30&lt;=ROUND(('Annahmen'!$E$145)*12,0)),(IF(30=1,'Annahmen'!$C$145,D316))*('Annahmen'!$D$145/12),0)</f>
      </c>
      <c r="E145" s="51">
        <f>IF(AND(30&gt;=1,30&lt;=ROUND(('Annahmen'!$E$146)*12,0)),(IF(30=1,'Annahmen'!$C$146,E316))*('Annahmen'!$D$146/12),0)</f>
      </c>
      <c r="F145" s="51">
        <f>IF(AND(30&gt;=1,30&lt;=ROUND(('Annahmen'!$E$147)*12,0)),(IF(30=1,'Annahmen'!$C$147,F316))*('Annahmen'!$D$147/12),0)</f>
      </c>
      <c r="G145" s="51">
        <f>IF(AND(30&gt;=1,30&lt;=ROUND(('Annahmen'!$E$148)*12,0)),(IF(30=1,'Annahmen'!$C$148,G316))*('Annahmen'!$D$148/12),0)</f>
      </c>
      <c r="H145" s="51">
        <f>IF(AND(30&gt;=1,30&lt;=ROUND(('Annahmen'!$E$149)*12,0)),(IF(30=1,'Annahmen'!$C$149,H316))*('Annahmen'!$D$149/12),0)</f>
      </c>
      <c r="I145" s="51">
        <f>IF(AND(30&gt;=1,30&lt;=ROUND(('Annahmen'!$E$150)*12,0)),(IF(30=1,'Annahmen'!$C$150,I316))*('Annahmen'!$D$150/12),0)</f>
      </c>
      <c r="J145" s="51">
        <f>IF(AND((29-(('Annahmen'!$I$155-2026)*12+'Annahmen'!$H$155-1)+1)&gt;=1,(29-(('Annahmen'!$I$155-2026)*12+'Annahmen'!$H$155-1)+1)&lt;=ROUND(('Annahmen'!$E$155)*12,0)),(IF((29-(('Annahmen'!$I$155-2026)*12+'Annahmen'!$H$155-1)+1)=1,'Annahmen'!$C$155,J316))*('Annahmen'!$D$155/12),0)</f>
      </c>
      <c r="K145" s="51">
        <f>IF(AND((29-(('Annahmen'!$I$156-2026)*12+'Annahmen'!$H$156-1)+1)&gt;=1,(29-(('Annahmen'!$I$156-2026)*12+'Annahmen'!$H$156-1)+1)&lt;=ROUND(('Annahmen'!$E$156)*12,0)),(IF((29-(('Annahmen'!$I$156-2026)*12+'Annahmen'!$H$156-1)+1)=1,'Annahmen'!$C$156,K316))*('Annahmen'!$D$156/12),0)</f>
      </c>
      <c r="L145" s="51">
        <f>IF(AND((29-(('Annahmen'!$I$157-2026)*12+'Annahmen'!$H$157-1)+1)&gt;=1,(29-(('Annahmen'!$I$157-2026)*12+'Annahmen'!$H$157-1)+1)&lt;=ROUND(('Annahmen'!$E$157)*12,0)),(IF((29-(('Annahmen'!$I$157-2026)*12+'Annahmen'!$H$157-1)+1)=1,'Annahmen'!$C$157,L316))*('Annahmen'!$D$157/12),0)</f>
      </c>
      <c r="M145" s="51">
        <f>IF(AND((29-(('Annahmen'!$I$158-2026)*12+'Annahmen'!$H$158-1)+1)&gt;=1,(29-(('Annahmen'!$I$158-2026)*12+'Annahmen'!$H$158-1)+1)&lt;=ROUND(('Annahmen'!$E$158)*12,0)),(IF((29-(('Annahmen'!$I$158-2026)*12+'Annahmen'!$H$158-1)+1)=1,'Annahmen'!$C$158,M316))*('Annahmen'!$D$158/12),0)</f>
      </c>
      <c r="N145" s="51">
        <f>IF(AND((29-(('Annahmen'!$I$159-2026)*12+'Annahmen'!$H$159-1)+1)&gt;=1,(29-(('Annahmen'!$I$159-2026)*12+'Annahmen'!$H$159-1)+1)&lt;=ROUND(('Annahmen'!$E$159)*12,0)),(IF((29-(('Annahmen'!$I$159-2026)*12+'Annahmen'!$H$159-1)+1)=1,'Annahmen'!$C$159,N316))*('Annahmen'!$D$159/12),0)</f>
      </c>
      <c r="O145" s="114">
        <f>SUM(C145:N145)</f>
      </c>
    </row>
    <row r="146" ht="15" customHeight="1" hidden="1" spans="2:15" x14ac:dyDescent="0.25" outlineLevel="1" collapsed="1">
      <c r="B146" s="113" t="s">
        <v>252</v>
      </c>
      <c r="C146" s="51">
        <f>IF(AND(31&gt;=1,31&lt;=ROUND(('Annahmen'!$E$144)*12,0)),(IF(31=1,'Annahmen'!$C$144,C317))*('Annahmen'!$D$144/12),0)</f>
      </c>
      <c r="D146" s="51">
        <f>IF(AND(31&gt;=1,31&lt;=ROUND(('Annahmen'!$E$145)*12,0)),(IF(31=1,'Annahmen'!$C$145,D317))*('Annahmen'!$D$145/12),0)</f>
      </c>
      <c r="E146" s="51">
        <f>IF(AND(31&gt;=1,31&lt;=ROUND(('Annahmen'!$E$146)*12,0)),(IF(31=1,'Annahmen'!$C$146,E317))*('Annahmen'!$D$146/12),0)</f>
      </c>
      <c r="F146" s="51">
        <f>IF(AND(31&gt;=1,31&lt;=ROUND(('Annahmen'!$E$147)*12,0)),(IF(31=1,'Annahmen'!$C$147,F317))*('Annahmen'!$D$147/12),0)</f>
      </c>
      <c r="G146" s="51">
        <f>IF(AND(31&gt;=1,31&lt;=ROUND(('Annahmen'!$E$148)*12,0)),(IF(31=1,'Annahmen'!$C$148,G317))*('Annahmen'!$D$148/12),0)</f>
      </c>
      <c r="H146" s="51">
        <f>IF(AND(31&gt;=1,31&lt;=ROUND(('Annahmen'!$E$149)*12,0)),(IF(31=1,'Annahmen'!$C$149,H317))*('Annahmen'!$D$149/12),0)</f>
      </c>
      <c r="I146" s="51">
        <f>IF(AND(31&gt;=1,31&lt;=ROUND(('Annahmen'!$E$150)*12,0)),(IF(31=1,'Annahmen'!$C$150,I317))*('Annahmen'!$D$150/12),0)</f>
      </c>
      <c r="J146" s="51">
        <f>IF(AND((30-(('Annahmen'!$I$155-2026)*12+'Annahmen'!$H$155-1)+1)&gt;=1,(30-(('Annahmen'!$I$155-2026)*12+'Annahmen'!$H$155-1)+1)&lt;=ROUND(('Annahmen'!$E$155)*12,0)),(IF((30-(('Annahmen'!$I$155-2026)*12+'Annahmen'!$H$155-1)+1)=1,'Annahmen'!$C$155,J317))*('Annahmen'!$D$155/12),0)</f>
      </c>
      <c r="K146" s="51">
        <f>IF(AND((30-(('Annahmen'!$I$156-2026)*12+'Annahmen'!$H$156-1)+1)&gt;=1,(30-(('Annahmen'!$I$156-2026)*12+'Annahmen'!$H$156-1)+1)&lt;=ROUND(('Annahmen'!$E$156)*12,0)),(IF((30-(('Annahmen'!$I$156-2026)*12+'Annahmen'!$H$156-1)+1)=1,'Annahmen'!$C$156,K317))*('Annahmen'!$D$156/12),0)</f>
      </c>
      <c r="L146" s="51">
        <f>IF(AND((30-(('Annahmen'!$I$157-2026)*12+'Annahmen'!$H$157-1)+1)&gt;=1,(30-(('Annahmen'!$I$157-2026)*12+'Annahmen'!$H$157-1)+1)&lt;=ROUND(('Annahmen'!$E$157)*12,0)),(IF((30-(('Annahmen'!$I$157-2026)*12+'Annahmen'!$H$157-1)+1)=1,'Annahmen'!$C$157,L317))*('Annahmen'!$D$157/12),0)</f>
      </c>
      <c r="M146" s="51">
        <f>IF(AND((30-(('Annahmen'!$I$158-2026)*12+'Annahmen'!$H$158-1)+1)&gt;=1,(30-(('Annahmen'!$I$158-2026)*12+'Annahmen'!$H$158-1)+1)&lt;=ROUND(('Annahmen'!$E$158)*12,0)),(IF((30-(('Annahmen'!$I$158-2026)*12+'Annahmen'!$H$158-1)+1)=1,'Annahmen'!$C$158,M317))*('Annahmen'!$D$158/12),0)</f>
      </c>
      <c r="N146" s="51">
        <f>IF(AND((30-(('Annahmen'!$I$159-2026)*12+'Annahmen'!$H$159-1)+1)&gt;=1,(30-(('Annahmen'!$I$159-2026)*12+'Annahmen'!$H$159-1)+1)&lt;=ROUND(('Annahmen'!$E$159)*12,0)),(IF((30-(('Annahmen'!$I$159-2026)*12+'Annahmen'!$H$159-1)+1)=1,'Annahmen'!$C$159,N317))*('Annahmen'!$D$159/12),0)</f>
      </c>
      <c r="O146" s="114">
        <f>SUM(C146:N146)</f>
      </c>
    </row>
    <row r="147" ht="15" customHeight="1" hidden="1" spans="2:15" x14ac:dyDescent="0.25" outlineLevel="1" collapsed="1">
      <c r="B147" s="113" t="s">
        <v>253</v>
      </c>
      <c r="C147" s="51">
        <f>IF(AND(32&gt;=1,32&lt;=ROUND(('Annahmen'!$E$144)*12,0)),(IF(32=1,'Annahmen'!$C$144,C318))*('Annahmen'!$D$144/12),0)</f>
      </c>
      <c r="D147" s="51">
        <f>IF(AND(32&gt;=1,32&lt;=ROUND(('Annahmen'!$E$145)*12,0)),(IF(32=1,'Annahmen'!$C$145,D318))*('Annahmen'!$D$145/12),0)</f>
      </c>
      <c r="E147" s="51">
        <f>IF(AND(32&gt;=1,32&lt;=ROUND(('Annahmen'!$E$146)*12,0)),(IF(32=1,'Annahmen'!$C$146,E318))*('Annahmen'!$D$146/12),0)</f>
      </c>
      <c r="F147" s="51">
        <f>IF(AND(32&gt;=1,32&lt;=ROUND(('Annahmen'!$E$147)*12,0)),(IF(32=1,'Annahmen'!$C$147,F318))*('Annahmen'!$D$147/12),0)</f>
      </c>
      <c r="G147" s="51">
        <f>IF(AND(32&gt;=1,32&lt;=ROUND(('Annahmen'!$E$148)*12,0)),(IF(32=1,'Annahmen'!$C$148,G318))*('Annahmen'!$D$148/12),0)</f>
      </c>
      <c r="H147" s="51">
        <f>IF(AND(32&gt;=1,32&lt;=ROUND(('Annahmen'!$E$149)*12,0)),(IF(32=1,'Annahmen'!$C$149,H318))*('Annahmen'!$D$149/12),0)</f>
      </c>
      <c r="I147" s="51">
        <f>IF(AND(32&gt;=1,32&lt;=ROUND(('Annahmen'!$E$150)*12,0)),(IF(32=1,'Annahmen'!$C$150,I318))*('Annahmen'!$D$150/12),0)</f>
      </c>
      <c r="J147" s="51">
        <f>IF(AND((31-(('Annahmen'!$I$155-2026)*12+'Annahmen'!$H$155-1)+1)&gt;=1,(31-(('Annahmen'!$I$155-2026)*12+'Annahmen'!$H$155-1)+1)&lt;=ROUND(('Annahmen'!$E$155)*12,0)),(IF((31-(('Annahmen'!$I$155-2026)*12+'Annahmen'!$H$155-1)+1)=1,'Annahmen'!$C$155,J318))*('Annahmen'!$D$155/12),0)</f>
      </c>
      <c r="K147" s="51">
        <f>IF(AND((31-(('Annahmen'!$I$156-2026)*12+'Annahmen'!$H$156-1)+1)&gt;=1,(31-(('Annahmen'!$I$156-2026)*12+'Annahmen'!$H$156-1)+1)&lt;=ROUND(('Annahmen'!$E$156)*12,0)),(IF((31-(('Annahmen'!$I$156-2026)*12+'Annahmen'!$H$156-1)+1)=1,'Annahmen'!$C$156,K318))*('Annahmen'!$D$156/12),0)</f>
      </c>
      <c r="L147" s="51">
        <f>IF(AND((31-(('Annahmen'!$I$157-2026)*12+'Annahmen'!$H$157-1)+1)&gt;=1,(31-(('Annahmen'!$I$157-2026)*12+'Annahmen'!$H$157-1)+1)&lt;=ROUND(('Annahmen'!$E$157)*12,0)),(IF((31-(('Annahmen'!$I$157-2026)*12+'Annahmen'!$H$157-1)+1)=1,'Annahmen'!$C$157,L318))*('Annahmen'!$D$157/12),0)</f>
      </c>
      <c r="M147" s="51">
        <f>IF(AND((31-(('Annahmen'!$I$158-2026)*12+'Annahmen'!$H$158-1)+1)&gt;=1,(31-(('Annahmen'!$I$158-2026)*12+'Annahmen'!$H$158-1)+1)&lt;=ROUND(('Annahmen'!$E$158)*12,0)),(IF((31-(('Annahmen'!$I$158-2026)*12+'Annahmen'!$H$158-1)+1)=1,'Annahmen'!$C$158,M318))*('Annahmen'!$D$158/12),0)</f>
      </c>
      <c r="N147" s="51">
        <f>IF(AND((31-(('Annahmen'!$I$159-2026)*12+'Annahmen'!$H$159-1)+1)&gt;=1,(31-(('Annahmen'!$I$159-2026)*12+'Annahmen'!$H$159-1)+1)&lt;=ROUND(('Annahmen'!$E$159)*12,0)),(IF((31-(('Annahmen'!$I$159-2026)*12+'Annahmen'!$H$159-1)+1)=1,'Annahmen'!$C$159,N318))*('Annahmen'!$D$159/12),0)</f>
      </c>
      <c r="O147" s="114">
        <f>SUM(C147:N147)</f>
      </c>
    </row>
    <row r="148" ht="15" customHeight="1" hidden="1" spans="2:15" x14ac:dyDescent="0.25" outlineLevel="1" collapsed="1">
      <c r="B148" s="113" t="s">
        <v>254</v>
      </c>
      <c r="C148" s="51">
        <f>IF(AND(33&gt;=1,33&lt;=ROUND(('Annahmen'!$E$144)*12,0)),(IF(33=1,'Annahmen'!$C$144,C319))*('Annahmen'!$D$144/12),0)</f>
      </c>
      <c r="D148" s="51">
        <f>IF(AND(33&gt;=1,33&lt;=ROUND(('Annahmen'!$E$145)*12,0)),(IF(33=1,'Annahmen'!$C$145,D319))*('Annahmen'!$D$145/12),0)</f>
      </c>
      <c r="E148" s="51">
        <f>IF(AND(33&gt;=1,33&lt;=ROUND(('Annahmen'!$E$146)*12,0)),(IF(33=1,'Annahmen'!$C$146,E319))*('Annahmen'!$D$146/12),0)</f>
      </c>
      <c r="F148" s="51">
        <f>IF(AND(33&gt;=1,33&lt;=ROUND(('Annahmen'!$E$147)*12,0)),(IF(33=1,'Annahmen'!$C$147,F319))*('Annahmen'!$D$147/12),0)</f>
      </c>
      <c r="G148" s="51">
        <f>IF(AND(33&gt;=1,33&lt;=ROUND(('Annahmen'!$E$148)*12,0)),(IF(33=1,'Annahmen'!$C$148,G319))*('Annahmen'!$D$148/12),0)</f>
      </c>
      <c r="H148" s="51">
        <f>IF(AND(33&gt;=1,33&lt;=ROUND(('Annahmen'!$E$149)*12,0)),(IF(33=1,'Annahmen'!$C$149,H319))*('Annahmen'!$D$149/12),0)</f>
      </c>
      <c r="I148" s="51">
        <f>IF(AND(33&gt;=1,33&lt;=ROUND(('Annahmen'!$E$150)*12,0)),(IF(33=1,'Annahmen'!$C$150,I319))*('Annahmen'!$D$150/12),0)</f>
      </c>
      <c r="J148" s="51">
        <f>IF(AND((32-(('Annahmen'!$I$155-2026)*12+'Annahmen'!$H$155-1)+1)&gt;=1,(32-(('Annahmen'!$I$155-2026)*12+'Annahmen'!$H$155-1)+1)&lt;=ROUND(('Annahmen'!$E$155)*12,0)),(IF((32-(('Annahmen'!$I$155-2026)*12+'Annahmen'!$H$155-1)+1)=1,'Annahmen'!$C$155,J319))*('Annahmen'!$D$155/12),0)</f>
      </c>
      <c r="K148" s="51">
        <f>IF(AND((32-(('Annahmen'!$I$156-2026)*12+'Annahmen'!$H$156-1)+1)&gt;=1,(32-(('Annahmen'!$I$156-2026)*12+'Annahmen'!$H$156-1)+1)&lt;=ROUND(('Annahmen'!$E$156)*12,0)),(IF((32-(('Annahmen'!$I$156-2026)*12+'Annahmen'!$H$156-1)+1)=1,'Annahmen'!$C$156,K319))*('Annahmen'!$D$156/12),0)</f>
      </c>
      <c r="L148" s="51">
        <f>IF(AND((32-(('Annahmen'!$I$157-2026)*12+'Annahmen'!$H$157-1)+1)&gt;=1,(32-(('Annahmen'!$I$157-2026)*12+'Annahmen'!$H$157-1)+1)&lt;=ROUND(('Annahmen'!$E$157)*12,0)),(IF((32-(('Annahmen'!$I$157-2026)*12+'Annahmen'!$H$157-1)+1)=1,'Annahmen'!$C$157,L319))*('Annahmen'!$D$157/12),0)</f>
      </c>
      <c r="M148" s="51">
        <f>IF(AND((32-(('Annahmen'!$I$158-2026)*12+'Annahmen'!$H$158-1)+1)&gt;=1,(32-(('Annahmen'!$I$158-2026)*12+'Annahmen'!$H$158-1)+1)&lt;=ROUND(('Annahmen'!$E$158)*12,0)),(IF((32-(('Annahmen'!$I$158-2026)*12+'Annahmen'!$H$158-1)+1)=1,'Annahmen'!$C$158,M319))*('Annahmen'!$D$158/12),0)</f>
      </c>
      <c r="N148" s="51">
        <f>IF(AND((32-(('Annahmen'!$I$159-2026)*12+'Annahmen'!$H$159-1)+1)&gt;=1,(32-(('Annahmen'!$I$159-2026)*12+'Annahmen'!$H$159-1)+1)&lt;=ROUND(('Annahmen'!$E$159)*12,0)),(IF((32-(('Annahmen'!$I$159-2026)*12+'Annahmen'!$H$159-1)+1)=1,'Annahmen'!$C$159,N319))*('Annahmen'!$D$159/12),0)</f>
      </c>
      <c r="O148" s="114">
        <f>SUM(C148:N148)</f>
      </c>
    </row>
    <row r="149" ht="15" customHeight="1" hidden="1" spans="2:15" x14ac:dyDescent="0.25" outlineLevel="1" collapsed="1">
      <c r="B149" s="113" t="s">
        <v>255</v>
      </c>
      <c r="C149" s="51">
        <f>IF(AND(34&gt;=1,34&lt;=ROUND(('Annahmen'!$E$144)*12,0)),(IF(34=1,'Annahmen'!$C$144,C320))*('Annahmen'!$D$144/12),0)</f>
      </c>
      <c r="D149" s="51">
        <f>IF(AND(34&gt;=1,34&lt;=ROUND(('Annahmen'!$E$145)*12,0)),(IF(34=1,'Annahmen'!$C$145,D320))*('Annahmen'!$D$145/12),0)</f>
      </c>
      <c r="E149" s="51">
        <f>IF(AND(34&gt;=1,34&lt;=ROUND(('Annahmen'!$E$146)*12,0)),(IF(34=1,'Annahmen'!$C$146,E320))*('Annahmen'!$D$146/12),0)</f>
      </c>
      <c r="F149" s="51">
        <f>IF(AND(34&gt;=1,34&lt;=ROUND(('Annahmen'!$E$147)*12,0)),(IF(34=1,'Annahmen'!$C$147,F320))*('Annahmen'!$D$147/12),0)</f>
      </c>
      <c r="G149" s="51">
        <f>IF(AND(34&gt;=1,34&lt;=ROUND(('Annahmen'!$E$148)*12,0)),(IF(34=1,'Annahmen'!$C$148,G320))*('Annahmen'!$D$148/12),0)</f>
      </c>
      <c r="H149" s="51">
        <f>IF(AND(34&gt;=1,34&lt;=ROUND(('Annahmen'!$E$149)*12,0)),(IF(34=1,'Annahmen'!$C$149,H320))*('Annahmen'!$D$149/12),0)</f>
      </c>
      <c r="I149" s="51">
        <f>IF(AND(34&gt;=1,34&lt;=ROUND(('Annahmen'!$E$150)*12,0)),(IF(34=1,'Annahmen'!$C$150,I320))*('Annahmen'!$D$150/12),0)</f>
      </c>
      <c r="J149" s="51">
        <f>IF(AND((33-(('Annahmen'!$I$155-2026)*12+'Annahmen'!$H$155-1)+1)&gt;=1,(33-(('Annahmen'!$I$155-2026)*12+'Annahmen'!$H$155-1)+1)&lt;=ROUND(('Annahmen'!$E$155)*12,0)),(IF((33-(('Annahmen'!$I$155-2026)*12+'Annahmen'!$H$155-1)+1)=1,'Annahmen'!$C$155,J320))*('Annahmen'!$D$155/12),0)</f>
      </c>
      <c r="K149" s="51">
        <f>IF(AND((33-(('Annahmen'!$I$156-2026)*12+'Annahmen'!$H$156-1)+1)&gt;=1,(33-(('Annahmen'!$I$156-2026)*12+'Annahmen'!$H$156-1)+1)&lt;=ROUND(('Annahmen'!$E$156)*12,0)),(IF((33-(('Annahmen'!$I$156-2026)*12+'Annahmen'!$H$156-1)+1)=1,'Annahmen'!$C$156,K320))*('Annahmen'!$D$156/12),0)</f>
      </c>
      <c r="L149" s="51">
        <f>IF(AND((33-(('Annahmen'!$I$157-2026)*12+'Annahmen'!$H$157-1)+1)&gt;=1,(33-(('Annahmen'!$I$157-2026)*12+'Annahmen'!$H$157-1)+1)&lt;=ROUND(('Annahmen'!$E$157)*12,0)),(IF((33-(('Annahmen'!$I$157-2026)*12+'Annahmen'!$H$157-1)+1)=1,'Annahmen'!$C$157,L320))*('Annahmen'!$D$157/12),0)</f>
      </c>
      <c r="M149" s="51">
        <f>IF(AND((33-(('Annahmen'!$I$158-2026)*12+'Annahmen'!$H$158-1)+1)&gt;=1,(33-(('Annahmen'!$I$158-2026)*12+'Annahmen'!$H$158-1)+1)&lt;=ROUND(('Annahmen'!$E$158)*12,0)),(IF((33-(('Annahmen'!$I$158-2026)*12+'Annahmen'!$H$158-1)+1)=1,'Annahmen'!$C$158,M320))*('Annahmen'!$D$158/12),0)</f>
      </c>
      <c r="N149" s="51">
        <f>IF(AND((33-(('Annahmen'!$I$159-2026)*12+'Annahmen'!$H$159-1)+1)&gt;=1,(33-(('Annahmen'!$I$159-2026)*12+'Annahmen'!$H$159-1)+1)&lt;=ROUND(('Annahmen'!$E$159)*12,0)),(IF((33-(('Annahmen'!$I$159-2026)*12+'Annahmen'!$H$159-1)+1)=1,'Annahmen'!$C$159,N320))*('Annahmen'!$D$159/12),0)</f>
      </c>
      <c r="O149" s="114">
        <f>SUM(C149:N149)</f>
      </c>
    </row>
    <row r="150" ht="15" customHeight="1" hidden="1" spans="2:15" x14ac:dyDescent="0.25" outlineLevel="1" collapsed="1">
      <c r="B150" s="113" t="s">
        <v>256</v>
      </c>
      <c r="C150" s="51">
        <f>IF(AND(35&gt;=1,35&lt;=ROUND(('Annahmen'!$E$144)*12,0)),(IF(35=1,'Annahmen'!$C$144,C321))*('Annahmen'!$D$144/12),0)</f>
      </c>
      <c r="D150" s="51">
        <f>IF(AND(35&gt;=1,35&lt;=ROUND(('Annahmen'!$E$145)*12,0)),(IF(35=1,'Annahmen'!$C$145,D321))*('Annahmen'!$D$145/12),0)</f>
      </c>
      <c r="E150" s="51">
        <f>IF(AND(35&gt;=1,35&lt;=ROUND(('Annahmen'!$E$146)*12,0)),(IF(35=1,'Annahmen'!$C$146,E321))*('Annahmen'!$D$146/12),0)</f>
      </c>
      <c r="F150" s="51">
        <f>IF(AND(35&gt;=1,35&lt;=ROUND(('Annahmen'!$E$147)*12,0)),(IF(35=1,'Annahmen'!$C$147,F321))*('Annahmen'!$D$147/12),0)</f>
      </c>
      <c r="G150" s="51">
        <f>IF(AND(35&gt;=1,35&lt;=ROUND(('Annahmen'!$E$148)*12,0)),(IF(35=1,'Annahmen'!$C$148,G321))*('Annahmen'!$D$148/12),0)</f>
      </c>
      <c r="H150" s="51">
        <f>IF(AND(35&gt;=1,35&lt;=ROUND(('Annahmen'!$E$149)*12,0)),(IF(35=1,'Annahmen'!$C$149,H321))*('Annahmen'!$D$149/12),0)</f>
      </c>
      <c r="I150" s="51">
        <f>IF(AND(35&gt;=1,35&lt;=ROUND(('Annahmen'!$E$150)*12,0)),(IF(35=1,'Annahmen'!$C$150,I321))*('Annahmen'!$D$150/12),0)</f>
      </c>
      <c r="J150" s="51">
        <f>IF(AND((34-(('Annahmen'!$I$155-2026)*12+'Annahmen'!$H$155-1)+1)&gt;=1,(34-(('Annahmen'!$I$155-2026)*12+'Annahmen'!$H$155-1)+1)&lt;=ROUND(('Annahmen'!$E$155)*12,0)),(IF((34-(('Annahmen'!$I$155-2026)*12+'Annahmen'!$H$155-1)+1)=1,'Annahmen'!$C$155,J321))*('Annahmen'!$D$155/12),0)</f>
      </c>
      <c r="K150" s="51">
        <f>IF(AND((34-(('Annahmen'!$I$156-2026)*12+'Annahmen'!$H$156-1)+1)&gt;=1,(34-(('Annahmen'!$I$156-2026)*12+'Annahmen'!$H$156-1)+1)&lt;=ROUND(('Annahmen'!$E$156)*12,0)),(IF((34-(('Annahmen'!$I$156-2026)*12+'Annahmen'!$H$156-1)+1)=1,'Annahmen'!$C$156,K321))*('Annahmen'!$D$156/12),0)</f>
      </c>
      <c r="L150" s="51">
        <f>IF(AND((34-(('Annahmen'!$I$157-2026)*12+'Annahmen'!$H$157-1)+1)&gt;=1,(34-(('Annahmen'!$I$157-2026)*12+'Annahmen'!$H$157-1)+1)&lt;=ROUND(('Annahmen'!$E$157)*12,0)),(IF((34-(('Annahmen'!$I$157-2026)*12+'Annahmen'!$H$157-1)+1)=1,'Annahmen'!$C$157,L321))*('Annahmen'!$D$157/12),0)</f>
      </c>
      <c r="M150" s="51">
        <f>IF(AND((34-(('Annahmen'!$I$158-2026)*12+'Annahmen'!$H$158-1)+1)&gt;=1,(34-(('Annahmen'!$I$158-2026)*12+'Annahmen'!$H$158-1)+1)&lt;=ROUND(('Annahmen'!$E$158)*12,0)),(IF((34-(('Annahmen'!$I$158-2026)*12+'Annahmen'!$H$158-1)+1)=1,'Annahmen'!$C$158,M321))*('Annahmen'!$D$158/12),0)</f>
      </c>
      <c r="N150" s="51">
        <f>IF(AND((34-(('Annahmen'!$I$159-2026)*12+'Annahmen'!$H$159-1)+1)&gt;=1,(34-(('Annahmen'!$I$159-2026)*12+'Annahmen'!$H$159-1)+1)&lt;=ROUND(('Annahmen'!$E$159)*12,0)),(IF((34-(('Annahmen'!$I$159-2026)*12+'Annahmen'!$H$159-1)+1)=1,'Annahmen'!$C$159,N321))*('Annahmen'!$D$159/12),0)</f>
      </c>
      <c r="O150" s="114">
        <f>SUM(C150:N150)</f>
      </c>
    </row>
    <row r="151" ht="15" customHeight="1" hidden="1" spans="2:15" x14ac:dyDescent="0.25" outlineLevel="1" collapsed="1">
      <c r="B151" s="113" t="s">
        <v>257</v>
      </c>
      <c r="C151" s="51">
        <f>IF(AND(36&gt;=1,36&lt;=ROUND(('Annahmen'!$E$144)*12,0)),(IF(36=1,'Annahmen'!$C$144,C322))*('Annahmen'!$D$144/12),0)</f>
      </c>
      <c r="D151" s="51">
        <f>IF(AND(36&gt;=1,36&lt;=ROUND(('Annahmen'!$E$145)*12,0)),(IF(36=1,'Annahmen'!$C$145,D322))*('Annahmen'!$D$145/12),0)</f>
      </c>
      <c r="E151" s="51">
        <f>IF(AND(36&gt;=1,36&lt;=ROUND(('Annahmen'!$E$146)*12,0)),(IF(36=1,'Annahmen'!$C$146,E322))*('Annahmen'!$D$146/12),0)</f>
      </c>
      <c r="F151" s="51">
        <f>IF(AND(36&gt;=1,36&lt;=ROUND(('Annahmen'!$E$147)*12,0)),(IF(36=1,'Annahmen'!$C$147,F322))*('Annahmen'!$D$147/12),0)</f>
      </c>
      <c r="G151" s="51">
        <f>IF(AND(36&gt;=1,36&lt;=ROUND(('Annahmen'!$E$148)*12,0)),(IF(36=1,'Annahmen'!$C$148,G322))*('Annahmen'!$D$148/12),0)</f>
      </c>
      <c r="H151" s="51">
        <f>IF(AND(36&gt;=1,36&lt;=ROUND(('Annahmen'!$E$149)*12,0)),(IF(36=1,'Annahmen'!$C$149,H322))*('Annahmen'!$D$149/12),0)</f>
      </c>
      <c r="I151" s="51">
        <f>IF(AND(36&gt;=1,36&lt;=ROUND(('Annahmen'!$E$150)*12,0)),(IF(36=1,'Annahmen'!$C$150,I322))*('Annahmen'!$D$150/12),0)</f>
      </c>
      <c r="J151" s="51">
        <f>IF(AND((35-(('Annahmen'!$I$155-2026)*12+'Annahmen'!$H$155-1)+1)&gt;=1,(35-(('Annahmen'!$I$155-2026)*12+'Annahmen'!$H$155-1)+1)&lt;=ROUND(('Annahmen'!$E$155)*12,0)),(IF((35-(('Annahmen'!$I$155-2026)*12+'Annahmen'!$H$155-1)+1)=1,'Annahmen'!$C$155,J322))*('Annahmen'!$D$155/12),0)</f>
      </c>
      <c r="K151" s="51">
        <f>IF(AND((35-(('Annahmen'!$I$156-2026)*12+'Annahmen'!$H$156-1)+1)&gt;=1,(35-(('Annahmen'!$I$156-2026)*12+'Annahmen'!$H$156-1)+1)&lt;=ROUND(('Annahmen'!$E$156)*12,0)),(IF((35-(('Annahmen'!$I$156-2026)*12+'Annahmen'!$H$156-1)+1)=1,'Annahmen'!$C$156,K322))*('Annahmen'!$D$156/12),0)</f>
      </c>
      <c r="L151" s="51">
        <f>IF(AND((35-(('Annahmen'!$I$157-2026)*12+'Annahmen'!$H$157-1)+1)&gt;=1,(35-(('Annahmen'!$I$157-2026)*12+'Annahmen'!$H$157-1)+1)&lt;=ROUND(('Annahmen'!$E$157)*12,0)),(IF((35-(('Annahmen'!$I$157-2026)*12+'Annahmen'!$H$157-1)+1)=1,'Annahmen'!$C$157,L322))*('Annahmen'!$D$157/12),0)</f>
      </c>
      <c r="M151" s="51">
        <f>IF(AND((35-(('Annahmen'!$I$158-2026)*12+'Annahmen'!$H$158-1)+1)&gt;=1,(35-(('Annahmen'!$I$158-2026)*12+'Annahmen'!$H$158-1)+1)&lt;=ROUND(('Annahmen'!$E$158)*12,0)),(IF((35-(('Annahmen'!$I$158-2026)*12+'Annahmen'!$H$158-1)+1)=1,'Annahmen'!$C$158,M322))*('Annahmen'!$D$158/12),0)</f>
      </c>
      <c r="N151" s="51">
        <f>IF(AND((35-(('Annahmen'!$I$159-2026)*12+'Annahmen'!$H$159-1)+1)&gt;=1,(35-(('Annahmen'!$I$159-2026)*12+'Annahmen'!$H$159-1)+1)&lt;=ROUND(('Annahmen'!$E$159)*12,0)),(IF((35-(('Annahmen'!$I$159-2026)*12+'Annahmen'!$H$159-1)+1)=1,'Annahmen'!$C$159,N322))*('Annahmen'!$D$159/12),0)</f>
      </c>
      <c r="O151" s="114">
        <f>SUM(C151:N151)</f>
      </c>
    </row>
    <row r="152" ht="15" customHeight="1" hidden="1" spans="2:15" x14ac:dyDescent="0.25" outlineLevel="1" collapsed="1">
      <c r="B152" s="115" t="s">
        <v>258</v>
      </c>
      <c r="C152" s="23">
        <f>SUM(C140:C151)</f>
      </c>
      <c r="D152" s="23">
        <f>SUM(D140:D151)</f>
      </c>
      <c r="E152" s="23">
        <f>SUM(E140:E151)</f>
      </c>
      <c r="F152" s="23">
        <f>SUM(F140:F151)</f>
      </c>
      <c r="G152" s="23">
        <f>SUM(G140:G151)</f>
      </c>
      <c r="H152" s="23">
        <f>SUM(H140:H151)</f>
      </c>
      <c r="I152" s="23">
        <f>SUM(I140:I151)</f>
      </c>
      <c r="J152" s="23">
        <f>SUM(J140:J151)</f>
      </c>
      <c r="K152" s="23">
        <f>SUM(K140:K151)</f>
      </c>
      <c r="L152" s="23">
        <f>SUM(L140:L151)</f>
      </c>
      <c r="M152" s="23">
        <f>SUM(M140:M151)</f>
      </c>
      <c r="N152" s="23">
        <f>SUM(N140:N151)</f>
      </c>
      <c r="O152" s="116">
        <f>SUM(O140:O151)</f>
      </c>
    </row>
    <row r="153" ht="18" customHeight="1" hidden="1" spans="2:15" x14ac:dyDescent="0.25" outlineLevel="1" collapsed="1">
      <c r="B153" s="117" t="s">
        <v>426</v>
      </c>
      <c r="C153" s="118">
        <f>C126+C139+C152</f>
      </c>
      <c r="D153" s="118">
        <f>D126+D139+D152</f>
      </c>
      <c r="E153" s="118">
        <f>E126+E139+E152</f>
      </c>
      <c r="F153" s="118">
        <f>F126+F139+F152</f>
      </c>
      <c r="G153" s="118">
        <f>G126+G139+G152</f>
      </c>
      <c r="H153" s="118">
        <f>H126+H139+H152</f>
      </c>
      <c r="I153" s="118">
        <f>I126+I139+I152</f>
      </c>
      <c r="J153" s="118">
        <f>J126+J139+J152</f>
      </c>
      <c r="K153" s="118">
        <f>K126+K139+K152</f>
      </c>
      <c r="L153" s="118">
        <f>L126+L139+L152</f>
      </c>
      <c r="M153" s="118">
        <f>M126+M139+M152</f>
      </c>
      <c r="N153" s="118">
        <f>N126+N139+N152</f>
      </c>
      <c r="O153" s="119">
        <f>O126+O139+O152</f>
      </c>
    </row>
    <row r="154" ht="15" customHeight="1" hidden="1" x14ac:dyDescent="0.25" outlineLevel="1" collapsed="1"/>
    <row r="155" ht="18" customHeight="1" hidden="1" spans="2:2" x14ac:dyDescent="0.25" outlineLevel="1" collapsed="1">
      <c r="B155" s="109" t="s">
        <v>401</v>
      </c>
    </row>
    <row r="156" ht="24" customHeight="1" hidden="1" spans="2:15" x14ac:dyDescent="0.25" outlineLevel="1" collapsed="1">
      <c r="B156" s="110" t="s">
        <v>101</v>
      </c>
      <c r="C156" s="111" t="s">
        <v>188</v>
      </c>
      <c r="D156" s="111" t="s">
        <v>189</v>
      </c>
      <c r="E156" s="111" t="s">
        <v>190</v>
      </c>
      <c r="F156" s="111" t="s">
        <v>191</v>
      </c>
      <c r="G156" s="111" t="s">
        <v>192</v>
      </c>
      <c r="H156" s="111" t="s">
        <v>194</v>
      </c>
      <c r="I156" s="111" t="s">
        <v>195</v>
      </c>
      <c r="J156" s="111" t="s">
        <v>199</v>
      </c>
      <c r="K156" s="111" t="s">
        <v>200</v>
      </c>
      <c r="L156" s="111" t="s">
        <v>201</v>
      </c>
      <c r="M156" s="111" t="s">
        <v>202</v>
      </c>
      <c r="N156" s="111" t="s">
        <v>204</v>
      </c>
      <c r="O156" s="112" t="s">
        <v>134</v>
      </c>
    </row>
    <row r="157" ht="15" customHeight="1" hidden="1" spans="2:15" x14ac:dyDescent="0.25" outlineLevel="1" collapsed="1">
      <c r="B157" s="113" t="s">
        <v>220</v>
      </c>
      <c r="C157" s="51">
        <f>IF(AND(1&gt;=1,1&lt;=ROUND(('Annahmen'!$E$144)*12,0)),IF(1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114,(IF(1=1,'Annahmen'!$C$144,0))),IF('Annahmen'!$F$144="Endfällig",IF(1=ROUND(('Annahmen'!$E$144)*12,0),(IF(1=1,'Annahmen'!$C$144,0)),0),MIN('Annahmen'!$C$144/(MAX(ROUND(('Annahmen'!$E$144)*12,0)-(0)*12,1)),(IF(1=1,'Annahmen'!$C$144,0)))))),0)</f>
      </c>
      <c r="D157" s="51">
        <f>IF(AND(1&gt;=1,1&lt;=ROUND(('Annahmen'!$E$145)*12,0)),IF(1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114,(IF(1=1,'Annahmen'!$C$145,0))),IF('Annahmen'!$F$145="Endfällig",IF(1=ROUND(('Annahmen'!$E$145)*12,0),(IF(1=1,'Annahmen'!$C$145,0)),0),MIN('Annahmen'!$C$145/(MAX(ROUND(('Annahmen'!$E$145)*12,0)-(0)*12,1)),(IF(1=1,'Annahmen'!$C$145,0)))))),0)</f>
      </c>
      <c r="E157" s="51">
        <f>IF(AND(1&gt;=1,1&lt;=ROUND(('Annahmen'!$E$146)*12,0)),IF(1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114,(IF(1=1,'Annahmen'!$C$146,0))),IF('Annahmen'!$F$146="Endfällig",IF(1=ROUND(('Annahmen'!$E$146)*12,0),(IF(1=1,'Annahmen'!$C$146,0)),0),MIN('Annahmen'!$C$146/(MAX(ROUND(('Annahmen'!$E$146)*12,0)-(0)*12,1)),(IF(1=1,'Annahmen'!$C$146,0)))))),0)</f>
      </c>
      <c r="F157" s="51">
        <f>IF(AND(1&gt;=1,1&lt;=ROUND(('Annahmen'!$E$147)*12,0)),IF(1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114,(IF(1=1,'Annahmen'!$C$147,0))),IF('Annahmen'!$F$147="Endfällig",IF(1=ROUND(('Annahmen'!$E$147)*12,0),(IF(1=1,'Annahmen'!$C$147,0)),0),MIN('Annahmen'!$C$147/(MAX(ROUND(('Annahmen'!$E$147)*12,0)-(0)*12,1)),(IF(1=1,'Annahmen'!$C$147,0)))))),0)</f>
      </c>
      <c r="G157" s="51">
        <f>IF(AND(1&gt;=1,1&lt;=ROUND(('Annahmen'!$E$148)*12,0)),IF(1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114,(IF(1=1,'Annahmen'!$C$148,0))),IF('Annahmen'!$F$148="Endfällig",IF(1=ROUND(('Annahmen'!$E$148)*12,0),(IF(1=1,'Annahmen'!$C$148,0)),0),MIN('Annahmen'!$C$148/(MAX(ROUND(('Annahmen'!$E$148)*12,0)-(0)*12,1)),(IF(1=1,'Annahmen'!$C$148,0)))))),0)</f>
      </c>
      <c r="H157" s="51">
        <f>IF(AND(1&gt;=1,1&lt;=ROUND(('Annahmen'!$E$149)*12,0)),IF(1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114,(IF(1=1,'Annahmen'!$C$149,0))),IF('Annahmen'!$F$149="Endfällig",IF(1=ROUND(('Annahmen'!$E$149)*12,0),(IF(1=1,'Annahmen'!$C$149,0)),0),MIN('Annahmen'!$C$149/(MAX(ROUND(('Annahmen'!$E$149)*12,0)-(0)*12,1)),(IF(1=1,'Annahmen'!$C$149,0)))))),0)</f>
      </c>
      <c r="I157" s="51">
        <f>IF(AND(1&gt;=1,1&lt;=ROUND(('Annahmen'!$E$150)*12,0)),IF(1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114,(IF(1=1,'Annahmen'!$C$150,0))),IF('Annahmen'!$F$150="Endfällig",IF(1=ROUND(('Annahmen'!$E$150)*12,0),(IF(1=1,'Annahmen'!$C$150,0)),0),MIN('Annahmen'!$C$150/(MAX(ROUND(('Annahmen'!$E$150)*12,0)-(0)*12,1)),(IF(1=1,'Annahmen'!$C$150,0)))))),0)</f>
      </c>
      <c r="J157" s="51">
        <v>0</v>
      </c>
      <c r="K157" s="51">
        <v>0</v>
      </c>
      <c r="L157" s="51">
        <v>0</v>
      </c>
      <c r="M157" s="51">
        <v>0</v>
      </c>
      <c r="N157" s="51">
        <v>0</v>
      </c>
      <c r="O157" s="114">
        <f>SUM(C157:N157)</f>
      </c>
    </row>
    <row r="158" ht="15" customHeight="1" hidden="1" spans="2:15" x14ac:dyDescent="0.25" outlineLevel="1" collapsed="1">
      <c r="B158" s="113" t="s">
        <v>221</v>
      </c>
      <c r="C158" s="51">
        <f>IF(AND(2&gt;=1,2&lt;=ROUND(('Annahmen'!$E$144)*12,0)),IF(2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115,(IF(2=1,'Annahmen'!$C$144,C286))),IF('Annahmen'!$F$144="Endfällig",IF(2=ROUND(('Annahmen'!$E$144)*12,0),(IF(2=1,'Annahmen'!$C$144,C286)),0),MIN('Annahmen'!$C$144/(MAX(ROUND(('Annahmen'!$E$144)*12,0)-(0)*12,1)),(IF(2=1,'Annahmen'!$C$144,C286)))))),0)</f>
      </c>
      <c r="D158" s="51">
        <f>IF(AND(2&gt;=1,2&lt;=ROUND(('Annahmen'!$E$145)*12,0)),IF(2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115,(IF(2=1,'Annahmen'!$C$145,D286))),IF('Annahmen'!$F$145="Endfällig",IF(2=ROUND(('Annahmen'!$E$145)*12,0),(IF(2=1,'Annahmen'!$C$145,D286)),0),MIN('Annahmen'!$C$145/(MAX(ROUND(('Annahmen'!$E$145)*12,0)-(0)*12,1)),(IF(2=1,'Annahmen'!$C$145,D286)))))),0)</f>
      </c>
      <c r="E158" s="51">
        <f>IF(AND(2&gt;=1,2&lt;=ROUND(('Annahmen'!$E$146)*12,0)),IF(2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115,(IF(2=1,'Annahmen'!$C$146,E286))),IF('Annahmen'!$F$146="Endfällig",IF(2=ROUND(('Annahmen'!$E$146)*12,0),(IF(2=1,'Annahmen'!$C$146,E286)),0),MIN('Annahmen'!$C$146/(MAX(ROUND(('Annahmen'!$E$146)*12,0)-(0)*12,1)),(IF(2=1,'Annahmen'!$C$146,E286)))))),0)</f>
      </c>
      <c r="F158" s="51">
        <f>IF(AND(2&gt;=1,2&lt;=ROUND(('Annahmen'!$E$147)*12,0)),IF(2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115,(IF(2=1,'Annahmen'!$C$147,F286))),IF('Annahmen'!$F$147="Endfällig",IF(2=ROUND(('Annahmen'!$E$147)*12,0),(IF(2=1,'Annahmen'!$C$147,F286)),0),MIN('Annahmen'!$C$147/(MAX(ROUND(('Annahmen'!$E$147)*12,0)-(0)*12,1)),(IF(2=1,'Annahmen'!$C$147,F286)))))),0)</f>
      </c>
      <c r="G158" s="51">
        <f>IF(AND(2&gt;=1,2&lt;=ROUND(('Annahmen'!$E$148)*12,0)),IF(2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115,(IF(2=1,'Annahmen'!$C$148,G286))),IF('Annahmen'!$F$148="Endfällig",IF(2=ROUND(('Annahmen'!$E$148)*12,0),(IF(2=1,'Annahmen'!$C$148,G286)),0),MIN('Annahmen'!$C$148/(MAX(ROUND(('Annahmen'!$E$148)*12,0)-(0)*12,1)),(IF(2=1,'Annahmen'!$C$148,G286)))))),0)</f>
      </c>
      <c r="H158" s="51">
        <f>IF(AND(2&gt;=1,2&lt;=ROUND(('Annahmen'!$E$149)*12,0)),IF(2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115,(IF(2=1,'Annahmen'!$C$149,H286))),IF('Annahmen'!$F$149="Endfällig",IF(2=ROUND(('Annahmen'!$E$149)*12,0),(IF(2=1,'Annahmen'!$C$149,H286)),0),MIN('Annahmen'!$C$149/(MAX(ROUND(('Annahmen'!$E$149)*12,0)-(0)*12,1)),(IF(2=1,'Annahmen'!$C$149,H286)))))),0)</f>
      </c>
      <c r="I158" s="51">
        <f>IF(AND(2&gt;=1,2&lt;=ROUND(('Annahmen'!$E$150)*12,0)),IF(2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115,(IF(2=1,'Annahmen'!$C$150,I286))),IF('Annahmen'!$F$150="Endfällig",IF(2=ROUND(('Annahmen'!$E$150)*12,0),(IF(2=1,'Annahmen'!$C$150,I286)),0),MIN('Annahmen'!$C$150/(MAX(ROUND(('Annahmen'!$E$150)*12,0)-(0)*12,1)),(IF(2=1,'Annahmen'!$C$150,I286)))))),0)</f>
      </c>
      <c r="J158" s="51">
        <v>0</v>
      </c>
      <c r="K158" s="51">
        <v>0</v>
      </c>
      <c r="L158" s="51">
        <v>0</v>
      </c>
      <c r="M158" s="51">
        <v>0</v>
      </c>
      <c r="N158" s="51">
        <v>0</v>
      </c>
      <c r="O158" s="114">
        <f>SUM(C158:N158)</f>
      </c>
    </row>
    <row r="159" ht="15" customHeight="1" hidden="1" spans="2:15" x14ac:dyDescent="0.25" outlineLevel="1" collapsed="1">
      <c r="B159" s="113" t="s">
        <v>222</v>
      </c>
      <c r="C159" s="51">
        <f>IF(AND(3&gt;=1,3&lt;=ROUND(('Annahmen'!$E$144)*12,0)),IF(3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116,(IF(3=1,'Annahmen'!$C$144,C287))),IF('Annahmen'!$F$144="Endfällig",IF(3=ROUND(('Annahmen'!$E$144)*12,0),(IF(3=1,'Annahmen'!$C$144,C287)),0),MIN('Annahmen'!$C$144/(MAX(ROUND(('Annahmen'!$E$144)*12,0)-(0)*12,1)),(IF(3=1,'Annahmen'!$C$144,C287)))))),0)</f>
      </c>
      <c r="D159" s="51">
        <f>IF(AND(3&gt;=1,3&lt;=ROUND(('Annahmen'!$E$145)*12,0)),IF(3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116,(IF(3=1,'Annahmen'!$C$145,D287))),IF('Annahmen'!$F$145="Endfällig",IF(3=ROUND(('Annahmen'!$E$145)*12,0),(IF(3=1,'Annahmen'!$C$145,D287)),0),MIN('Annahmen'!$C$145/(MAX(ROUND(('Annahmen'!$E$145)*12,0)-(0)*12,1)),(IF(3=1,'Annahmen'!$C$145,D287)))))),0)</f>
      </c>
      <c r="E159" s="51">
        <f>IF(AND(3&gt;=1,3&lt;=ROUND(('Annahmen'!$E$146)*12,0)),IF(3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116,(IF(3=1,'Annahmen'!$C$146,E287))),IF('Annahmen'!$F$146="Endfällig",IF(3=ROUND(('Annahmen'!$E$146)*12,0),(IF(3=1,'Annahmen'!$C$146,E287)),0),MIN('Annahmen'!$C$146/(MAX(ROUND(('Annahmen'!$E$146)*12,0)-(0)*12,1)),(IF(3=1,'Annahmen'!$C$146,E287)))))),0)</f>
      </c>
      <c r="F159" s="51">
        <f>IF(AND(3&gt;=1,3&lt;=ROUND(('Annahmen'!$E$147)*12,0)),IF(3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116,(IF(3=1,'Annahmen'!$C$147,F287))),IF('Annahmen'!$F$147="Endfällig",IF(3=ROUND(('Annahmen'!$E$147)*12,0),(IF(3=1,'Annahmen'!$C$147,F287)),0),MIN('Annahmen'!$C$147/(MAX(ROUND(('Annahmen'!$E$147)*12,0)-(0)*12,1)),(IF(3=1,'Annahmen'!$C$147,F287)))))),0)</f>
      </c>
      <c r="G159" s="51">
        <f>IF(AND(3&gt;=1,3&lt;=ROUND(('Annahmen'!$E$148)*12,0)),IF(3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116,(IF(3=1,'Annahmen'!$C$148,G287))),IF('Annahmen'!$F$148="Endfällig",IF(3=ROUND(('Annahmen'!$E$148)*12,0),(IF(3=1,'Annahmen'!$C$148,G287)),0),MIN('Annahmen'!$C$148/(MAX(ROUND(('Annahmen'!$E$148)*12,0)-(0)*12,1)),(IF(3=1,'Annahmen'!$C$148,G287)))))),0)</f>
      </c>
      <c r="H159" s="51">
        <f>IF(AND(3&gt;=1,3&lt;=ROUND(('Annahmen'!$E$149)*12,0)),IF(3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116,(IF(3=1,'Annahmen'!$C$149,H287))),IF('Annahmen'!$F$149="Endfällig",IF(3=ROUND(('Annahmen'!$E$149)*12,0),(IF(3=1,'Annahmen'!$C$149,H287)),0),MIN('Annahmen'!$C$149/(MAX(ROUND(('Annahmen'!$E$149)*12,0)-(0)*12,1)),(IF(3=1,'Annahmen'!$C$149,H287)))))),0)</f>
      </c>
      <c r="I159" s="51">
        <f>IF(AND(3&gt;=1,3&lt;=ROUND(('Annahmen'!$E$150)*12,0)),IF(3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116,(IF(3=1,'Annahmen'!$C$150,I287))),IF('Annahmen'!$F$150="Endfällig",IF(3=ROUND(('Annahmen'!$E$150)*12,0),(IF(3=1,'Annahmen'!$C$150,I287)),0),MIN('Annahmen'!$C$150/(MAX(ROUND(('Annahmen'!$E$150)*12,0)-(0)*12,1)),(IF(3=1,'Annahmen'!$C$150,I287)))))),0)</f>
      </c>
      <c r="J159" s="51">
        <v>0</v>
      </c>
      <c r="K159" s="51">
        <v>0</v>
      </c>
      <c r="L159" s="51">
        <v>0</v>
      </c>
      <c r="M159" s="51">
        <v>0</v>
      </c>
      <c r="N159" s="51">
        <v>0</v>
      </c>
      <c r="O159" s="114">
        <f>SUM(C159:N159)</f>
      </c>
    </row>
    <row r="160" ht="15" customHeight="1" hidden="1" spans="2:15" x14ac:dyDescent="0.25" outlineLevel="1" collapsed="1">
      <c r="B160" s="113" t="s">
        <v>223</v>
      </c>
      <c r="C160" s="51">
        <f>IF(AND(4&gt;=1,4&lt;=ROUND(('Annahmen'!$E$144)*12,0)),IF(4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117,(IF(4=1,'Annahmen'!$C$144,C288))),IF('Annahmen'!$F$144="Endfällig",IF(4=ROUND(('Annahmen'!$E$144)*12,0),(IF(4=1,'Annahmen'!$C$144,C288)),0),MIN('Annahmen'!$C$144/(MAX(ROUND(('Annahmen'!$E$144)*12,0)-(0)*12,1)),(IF(4=1,'Annahmen'!$C$144,C288)))))),0)</f>
      </c>
      <c r="D160" s="51">
        <f>IF(AND(4&gt;=1,4&lt;=ROUND(('Annahmen'!$E$145)*12,0)),IF(4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117,(IF(4=1,'Annahmen'!$C$145,D288))),IF('Annahmen'!$F$145="Endfällig",IF(4=ROUND(('Annahmen'!$E$145)*12,0),(IF(4=1,'Annahmen'!$C$145,D288)),0),MIN('Annahmen'!$C$145/(MAX(ROUND(('Annahmen'!$E$145)*12,0)-(0)*12,1)),(IF(4=1,'Annahmen'!$C$145,D288)))))),0)</f>
      </c>
      <c r="E160" s="51">
        <f>IF(AND(4&gt;=1,4&lt;=ROUND(('Annahmen'!$E$146)*12,0)),IF(4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117,(IF(4=1,'Annahmen'!$C$146,E288))),IF('Annahmen'!$F$146="Endfällig",IF(4=ROUND(('Annahmen'!$E$146)*12,0),(IF(4=1,'Annahmen'!$C$146,E288)),0),MIN('Annahmen'!$C$146/(MAX(ROUND(('Annahmen'!$E$146)*12,0)-(0)*12,1)),(IF(4=1,'Annahmen'!$C$146,E288)))))),0)</f>
      </c>
      <c r="F160" s="51">
        <f>IF(AND(4&gt;=1,4&lt;=ROUND(('Annahmen'!$E$147)*12,0)),IF(4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117,(IF(4=1,'Annahmen'!$C$147,F288))),IF('Annahmen'!$F$147="Endfällig",IF(4=ROUND(('Annahmen'!$E$147)*12,0),(IF(4=1,'Annahmen'!$C$147,F288)),0),MIN('Annahmen'!$C$147/(MAX(ROUND(('Annahmen'!$E$147)*12,0)-(0)*12,1)),(IF(4=1,'Annahmen'!$C$147,F288)))))),0)</f>
      </c>
      <c r="G160" s="51">
        <f>IF(AND(4&gt;=1,4&lt;=ROUND(('Annahmen'!$E$148)*12,0)),IF(4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117,(IF(4=1,'Annahmen'!$C$148,G288))),IF('Annahmen'!$F$148="Endfällig",IF(4=ROUND(('Annahmen'!$E$148)*12,0),(IF(4=1,'Annahmen'!$C$148,G288)),0),MIN('Annahmen'!$C$148/(MAX(ROUND(('Annahmen'!$E$148)*12,0)-(0)*12,1)),(IF(4=1,'Annahmen'!$C$148,G288)))))),0)</f>
      </c>
      <c r="H160" s="51">
        <f>IF(AND(4&gt;=1,4&lt;=ROUND(('Annahmen'!$E$149)*12,0)),IF(4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117,(IF(4=1,'Annahmen'!$C$149,H288))),IF('Annahmen'!$F$149="Endfällig",IF(4=ROUND(('Annahmen'!$E$149)*12,0),(IF(4=1,'Annahmen'!$C$149,H288)),0),MIN('Annahmen'!$C$149/(MAX(ROUND(('Annahmen'!$E$149)*12,0)-(0)*12,1)),(IF(4=1,'Annahmen'!$C$149,H288)))))),0)</f>
      </c>
      <c r="I160" s="51">
        <f>IF(AND(4&gt;=1,4&lt;=ROUND(('Annahmen'!$E$150)*12,0)),IF(4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117,(IF(4=1,'Annahmen'!$C$150,I288))),IF('Annahmen'!$F$150="Endfällig",IF(4=ROUND(('Annahmen'!$E$150)*12,0),(IF(4=1,'Annahmen'!$C$150,I288)),0),MIN('Annahmen'!$C$150/(MAX(ROUND(('Annahmen'!$E$150)*12,0)-(0)*12,1)),(IF(4=1,'Annahmen'!$C$150,I288)))))),0)</f>
      </c>
      <c r="J160" s="51">
        <v>0</v>
      </c>
      <c r="K160" s="51">
        <v>0</v>
      </c>
      <c r="L160" s="51">
        <v>0</v>
      </c>
      <c r="M160" s="51">
        <v>0</v>
      </c>
      <c r="N160" s="51">
        <v>0</v>
      </c>
      <c r="O160" s="114">
        <f>SUM(C160:N160)</f>
      </c>
    </row>
    <row r="161" ht="15" customHeight="1" hidden="1" spans="2:15" x14ac:dyDescent="0.25" outlineLevel="1" collapsed="1">
      <c r="B161" s="113" t="s">
        <v>224</v>
      </c>
      <c r="C161" s="51">
        <f>IF(AND(5&gt;=1,5&lt;=ROUND(('Annahmen'!$E$144)*12,0)),IF(5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118,(IF(5=1,'Annahmen'!$C$144,C289))),IF('Annahmen'!$F$144="Endfällig",IF(5=ROUND(('Annahmen'!$E$144)*12,0),(IF(5=1,'Annahmen'!$C$144,C289)),0),MIN('Annahmen'!$C$144/(MAX(ROUND(('Annahmen'!$E$144)*12,0)-(0)*12,1)),(IF(5=1,'Annahmen'!$C$144,C289)))))),0)</f>
      </c>
      <c r="D161" s="51">
        <f>IF(AND(5&gt;=1,5&lt;=ROUND(('Annahmen'!$E$145)*12,0)),IF(5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118,(IF(5=1,'Annahmen'!$C$145,D289))),IF('Annahmen'!$F$145="Endfällig",IF(5=ROUND(('Annahmen'!$E$145)*12,0),(IF(5=1,'Annahmen'!$C$145,D289)),0),MIN('Annahmen'!$C$145/(MAX(ROUND(('Annahmen'!$E$145)*12,0)-(0)*12,1)),(IF(5=1,'Annahmen'!$C$145,D289)))))),0)</f>
      </c>
      <c r="E161" s="51">
        <f>IF(AND(5&gt;=1,5&lt;=ROUND(('Annahmen'!$E$146)*12,0)),IF(5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118,(IF(5=1,'Annahmen'!$C$146,E289))),IF('Annahmen'!$F$146="Endfällig",IF(5=ROUND(('Annahmen'!$E$146)*12,0),(IF(5=1,'Annahmen'!$C$146,E289)),0),MIN('Annahmen'!$C$146/(MAX(ROUND(('Annahmen'!$E$146)*12,0)-(0)*12,1)),(IF(5=1,'Annahmen'!$C$146,E289)))))),0)</f>
      </c>
      <c r="F161" s="51">
        <f>IF(AND(5&gt;=1,5&lt;=ROUND(('Annahmen'!$E$147)*12,0)),IF(5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118,(IF(5=1,'Annahmen'!$C$147,F289))),IF('Annahmen'!$F$147="Endfällig",IF(5=ROUND(('Annahmen'!$E$147)*12,0),(IF(5=1,'Annahmen'!$C$147,F289)),0),MIN('Annahmen'!$C$147/(MAX(ROUND(('Annahmen'!$E$147)*12,0)-(0)*12,1)),(IF(5=1,'Annahmen'!$C$147,F289)))))),0)</f>
      </c>
      <c r="G161" s="51">
        <f>IF(AND(5&gt;=1,5&lt;=ROUND(('Annahmen'!$E$148)*12,0)),IF(5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118,(IF(5=1,'Annahmen'!$C$148,G289))),IF('Annahmen'!$F$148="Endfällig",IF(5=ROUND(('Annahmen'!$E$148)*12,0),(IF(5=1,'Annahmen'!$C$148,G289)),0),MIN('Annahmen'!$C$148/(MAX(ROUND(('Annahmen'!$E$148)*12,0)-(0)*12,1)),(IF(5=1,'Annahmen'!$C$148,G289)))))),0)</f>
      </c>
      <c r="H161" s="51">
        <f>IF(AND(5&gt;=1,5&lt;=ROUND(('Annahmen'!$E$149)*12,0)),IF(5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118,(IF(5=1,'Annahmen'!$C$149,H289))),IF('Annahmen'!$F$149="Endfällig",IF(5=ROUND(('Annahmen'!$E$149)*12,0),(IF(5=1,'Annahmen'!$C$149,H289)),0),MIN('Annahmen'!$C$149/(MAX(ROUND(('Annahmen'!$E$149)*12,0)-(0)*12,1)),(IF(5=1,'Annahmen'!$C$149,H289)))))),0)</f>
      </c>
      <c r="I161" s="51">
        <f>IF(AND(5&gt;=1,5&lt;=ROUND(('Annahmen'!$E$150)*12,0)),IF(5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118,(IF(5=1,'Annahmen'!$C$150,I289))),IF('Annahmen'!$F$150="Endfällig",IF(5=ROUND(('Annahmen'!$E$150)*12,0),(IF(5=1,'Annahmen'!$C$150,I289)),0),MIN('Annahmen'!$C$150/(MAX(ROUND(('Annahmen'!$E$150)*12,0)-(0)*12,1)),(IF(5=1,'Annahmen'!$C$150,I289)))))),0)</f>
      </c>
      <c r="J161" s="51">
        <v>0</v>
      </c>
      <c r="K161" s="51">
        <v>0</v>
      </c>
      <c r="L161" s="51">
        <v>0</v>
      </c>
      <c r="M161" s="51">
        <v>0</v>
      </c>
      <c r="N161" s="51">
        <v>0</v>
      </c>
      <c r="O161" s="114">
        <f>SUM(C161:N161)</f>
      </c>
    </row>
    <row r="162" ht="15" customHeight="1" hidden="1" spans="2:15" x14ac:dyDescent="0.25" outlineLevel="1" collapsed="1">
      <c r="B162" s="113" t="s">
        <v>225</v>
      </c>
      <c r="C162" s="51">
        <f>IF(AND(6&gt;=1,6&lt;=ROUND(('Annahmen'!$E$144)*12,0)),IF(6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119,(IF(6=1,'Annahmen'!$C$144,C290))),IF('Annahmen'!$F$144="Endfällig",IF(6=ROUND(('Annahmen'!$E$144)*12,0),(IF(6=1,'Annahmen'!$C$144,C290)),0),MIN('Annahmen'!$C$144/(MAX(ROUND(('Annahmen'!$E$144)*12,0)-(0)*12,1)),(IF(6=1,'Annahmen'!$C$144,C290)))))),0)</f>
      </c>
      <c r="D162" s="51">
        <f>IF(AND(6&gt;=1,6&lt;=ROUND(('Annahmen'!$E$145)*12,0)),IF(6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119,(IF(6=1,'Annahmen'!$C$145,D290))),IF('Annahmen'!$F$145="Endfällig",IF(6=ROUND(('Annahmen'!$E$145)*12,0),(IF(6=1,'Annahmen'!$C$145,D290)),0),MIN('Annahmen'!$C$145/(MAX(ROUND(('Annahmen'!$E$145)*12,0)-(0)*12,1)),(IF(6=1,'Annahmen'!$C$145,D290)))))),0)</f>
      </c>
      <c r="E162" s="51">
        <f>IF(AND(6&gt;=1,6&lt;=ROUND(('Annahmen'!$E$146)*12,0)),IF(6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119,(IF(6=1,'Annahmen'!$C$146,E290))),IF('Annahmen'!$F$146="Endfällig",IF(6=ROUND(('Annahmen'!$E$146)*12,0),(IF(6=1,'Annahmen'!$C$146,E290)),0),MIN('Annahmen'!$C$146/(MAX(ROUND(('Annahmen'!$E$146)*12,0)-(0)*12,1)),(IF(6=1,'Annahmen'!$C$146,E290)))))),0)</f>
      </c>
      <c r="F162" s="51">
        <f>IF(AND(6&gt;=1,6&lt;=ROUND(('Annahmen'!$E$147)*12,0)),IF(6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119,(IF(6=1,'Annahmen'!$C$147,F290))),IF('Annahmen'!$F$147="Endfällig",IF(6=ROUND(('Annahmen'!$E$147)*12,0),(IF(6=1,'Annahmen'!$C$147,F290)),0),MIN('Annahmen'!$C$147/(MAX(ROUND(('Annahmen'!$E$147)*12,0)-(0)*12,1)),(IF(6=1,'Annahmen'!$C$147,F290)))))),0)</f>
      </c>
      <c r="G162" s="51">
        <f>IF(AND(6&gt;=1,6&lt;=ROUND(('Annahmen'!$E$148)*12,0)),IF(6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119,(IF(6=1,'Annahmen'!$C$148,G290))),IF('Annahmen'!$F$148="Endfällig",IF(6=ROUND(('Annahmen'!$E$148)*12,0),(IF(6=1,'Annahmen'!$C$148,G290)),0),MIN('Annahmen'!$C$148/(MAX(ROUND(('Annahmen'!$E$148)*12,0)-(0)*12,1)),(IF(6=1,'Annahmen'!$C$148,G290)))))),0)</f>
      </c>
      <c r="H162" s="51">
        <f>IF(AND(6&gt;=1,6&lt;=ROUND(('Annahmen'!$E$149)*12,0)),IF(6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119,(IF(6=1,'Annahmen'!$C$149,H290))),IF('Annahmen'!$F$149="Endfällig",IF(6=ROUND(('Annahmen'!$E$149)*12,0),(IF(6=1,'Annahmen'!$C$149,H290)),0),MIN('Annahmen'!$C$149/(MAX(ROUND(('Annahmen'!$E$149)*12,0)-(0)*12,1)),(IF(6=1,'Annahmen'!$C$149,H290)))))),0)</f>
      </c>
      <c r="I162" s="51">
        <f>IF(AND(6&gt;=1,6&lt;=ROUND(('Annahmen'!$E$150)*12,0)),IF(6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119,(IF(6=1,'Annahmen'!$C$150,I290))),IF('Annahmen'!$F$150="Endfällig",IF(6=ROUND(('Annahmen'!$E$150)*12,0),(IF(6=1,'Annahmen'!$C$150,I290)),0),MIN('Annahmen'!$C$150/(MAX(ROUND(('Annahmen'!$E$150)*12,0)-(0)*12,1)),(IF(6=1,'Annahmen'!$C$150,I290)))))),0)</f>
      </c>
      <c r="J162" s="51">
        <v>0</v>
      </c>
      <c r="K162" s="51">
        <v>0</v>
      </c>
      <c r="L162" s="51">
        <v>0</v>
      </c>
      <c r="M162" s="51">
        <v>0</v>
      </c>
      <c r="N162" s="51">
        <v>0</v>
      </c>
      <c r="O162" s="114">
        <f>SUM(C162:N162)</f>
      </c>
    </row>
    <row r="163" ht="15" customHeight="1" hidden="1" spans="2:15" x14ac:dyDescent="0.25" outlineLevel="1" collapsed="1">
      <c r="B163" s="113" t="s">
        <v>226</v>
      </c>
      <c r="C163" s="51">
        <f>IF(AND(7&gt;=1,7&lt;=ROUND(('Annahmen'!$E$144)*12,0)),IF(7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120,(IF(7=1,'Annahmen'!$C$144,C291))),IF('Annahmen'!$F$144="Endfällig",IF(7=ROUND(('Annahmen'!$E$144)*12,0),(IF(7=1,'Annahmen'!$C$144,C291)),0),MIN('Annahmen'!$C$144/(MAX(ROUND(('Annahmen'!$E$144)*12,0)-(0)*12,1)),(IF(7=1,'Annahmen'!$C$144,C291)))))),0)</f>
      </c>
      <c r="D163" s="51">
        <f>IF(AND(7&gt;=1,7&lt;=ROUND(('Annahmen'!$E$145)*12,0)),IF(7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120,(IF(7=1,'Annahmen'!$C$145,D291))),IF('Annahmen'!$F$145="Endfällig",IF(7=ROUND(('Annahmen'!$E$145)*12,0),(IF(7=1,'Annahmen'!$C$145,D291)),0),MIN('Annahmen'!$C$145/(MAX(ROUND(('Annahmen'!$E$145)*12,0)-(0)*12,1)),(IF(7=1,'Annahmen'!$C$145,D291)))))),0)</f>
      </c>
      <c r="E163" s="51">
        <f>IF(AND(7&gt;=1,7&lt;=ROUND(('Annahmen'!$E$146)*12,0)),IF(7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120,(IF(7=1,'Annahmen'!$C$146,E291))),IF('Annahmen'!$F$146="Endfällig",IF(7=ROUND(('Annahmen'!$E$146)*12,0),(IF(7=1,'Annahmen'!$C$146,E291)),0),MIN('Annahmen'!$C$146/(MAX(ROUND(('Annahmen'!$E$146)*12,0)-(0)*12,1)),(IF(7=1,'Annahmen'!$C$146,E291)))))),0)</f>
      </c>
      <c r="F163" s="51">
        <f>IF(AND(7&gt;=1,7&lt;=ROUND(('Annahmen'!$E$147)*12,0)),IF(7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120,(IF(7=1,'Annahmen'!$C$147,F291))),IF('Annahmen'!$F$147="Endfällig",IF(7=ROUND(('Annahmen'!$E$147)*12,0),(IF(7=1,'Annahmen'!$C$147,F291)),0),MIN('Annahmen'!$C$147/(MAX(ROUND(('Annahmen'!$E$147)*12,0)-(0)*12,1)),(IF(7=1,'Annahmen'!$C$147,F291)))))),0)</f>
      </c>
      <c r="G163" s="51">
        <f>IF(AND(7&gt;=1,7&lt;=ROUND(('Annahmen'!$E$148)*12,0)),IF(7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120,(IF(7=1,'Annahmen'!$C$148,G291))),IF('Annahmen'!$F$148="Endfällig",IF(7=ROUND(('Annahmen'!$E$148)*12,0),(IF(7=1,'Annahmen'!$C$148,G291)),0),MIN('Annahmen'!$C$148/(MAX(ROUND(('Annahmen'!$E$148)*12,0)-(0)*12,1)),(IF(7=1,'Annahmen'!$C$148,G291)))))),0)</f>
      </c>
      <c r="H163" s="51">
        <f>IF(AND(7&gt;=1,7&lt;=ROUND(('Annahmen'!$E$149)*12,0)),IF(7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120,(IF(7=1,'Annahmen'!$C$149,H291))),IF('Annahmen'!$F$149="Endfällig",IF(7=ROUND(('Annahmen'!$E$149)*12,0),(IF(7=1,'Annahmen'!$C$149,H291)),0),MIN('Annahmen'!$C$149/(MAX(ROUND(('Annahmen'!$E$149)*12,0)-(0)*12,1)),(IF(7=1,'Annahmen'!$C$149,H291)))))),0)</f>
      </c>
      <c r="I163" s="51">
        <f>IF(AND(7&gt;=1,7&lt;=ROUND(('Annahmen'!$E$150)*12,0)),IF(7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120,(IF(7=1,'Annahmen'!$C$150,I291))),IF('Annahmen'!$F$150="Endfällig",IF(7=ROUND(('Annahmen'!$E$150)*12,0),(IF(7=1,'Annahmen'!$C$150,I291)),0),MIN('Annahmen'!$C$150/(MAX(ROUND(('Annahmen'!$E$150)*12,0)-(0)*12,1)),(IF(7=1,'Annahmen'!$C$150,I291)))))),0)</f>
      </c>
      <c r="J163" s="51">
        <v>0</v>
      </c>
      <c r="K163" s="51">
        <v>0</v>
      </c>
      <c r="L163" s="51">
        <v>0</v>
      </c>
      <c r="M163" s="51">
        <v>0</v>
      </c>
      <c r="N163" s="51">
        <v>0</v>
      </c>
      <c r="O163" s="114">
        <f>SUM(C163:N163)</f>
      </c>
    </row>
    <row r="164" ht="15" customHeight="1" hidden="1" spans="2:15" x14ac:dyDescent="0.25" outlineLevel="1" collapsed="1">
      <c r="B164" s="113" t="s">
        <v>227</v>
      </c>
      <c r="C164" s="51">
        <f>IF(AND(8&gt;=1,8&lt;=ROUND(('Annahmen'!$E$144)*12,0)),IF(8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121,(IF(8=1,'Annahmen'!$C$144,C292))),IF('Annahmen'!$F$144="Endfällig",IF(8=ROUND(('Annahmen'!$E$144)*12,0),(IF(8=1,'Annahmen'!$C$144,C292)),0),MIN('Annahmen'!$C$144/(MAX(ROUND(('Annahmen'!$E$144)*12,0)-(0)*12,1)),(IF(8=1,'Annahmen'!$C$144,C292)))))),0)</f>
      </c>
      <c r="D164" s="51">
        <f>IF(AND(8&gt;=1,8&lt;=ROUND(('Annahmen'!$E$145)*12,0)),IF(8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121,(IF(8=1,'Annahmen'!$C$145,D292))),IF('Annahmen'!$F$145="Endfällig",IF(8=ROUND(('Annahmen'!$E$145)*12,0),(IF(8=1,'Annahmen'!$C$145,D292)),0),MIN('Annahmen'!$C$145/(MAX(ROUND(('Annahmen'!$E$145)*12,0)-(0)*12,1)),(IF(8=1,'Annahmen'!$C$145,D292)))))),0)</f>
      </c>
      <c r="E164" s="51">
        <f>IF(AND(8&gt;=1,8&lt;=ROUND(('Annahmen'!$E$146)*12,0)),IF(8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121,(IF(8=1,'Annahmen'!$C$146,E292))),IF('Annahmen'!$F$146="Endfällig",IF(8=ROUND(('Annahmen'!$E$146)*12,0),(IF(8=1,'Annahmen'!$C$146,E292)),0),MIN('Annahmen'!$C$146/(MAX(ROUND(('Annahmen'!$E$146)*12,0)-(0)*12,1)),(IF(8=1,'Annahmen'!$C$146,E292)))))),0)</f>
      </c>
      <c r="F164" s="51">
        <f>IF(AND(8&gt;=1,8&lt;=ROUND(('Annahmen'!$E$147)*12,0)),IF(8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121,(IF(8=1,'Annahmen'!$C$147,F292))),IF('Annahmen'!$F$147="Endfällig",IF(8=ROUND(('Annahmen'!$E$147)*12,0),(IF(8=1,'Annahmen'!$C$147,F292)),0),MIN('Annahmen'!$C$147/(MAX(ROUND(('Annahmen'!$E$147)*12,0)-(0)*12,1)),(IF(8=1,'Annahmen'!$C$147,F292)))))),0)</f>
      </c>
      <c r="G164" s="51">
        <f>IF(AND(8&gt;=1,8&lt;=ROUND(('Annahmen'!$E$148)*12,0)),IF(8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121,(IF(8=1,'Annahmen'!$C$148,G292))),IF('Annahmen'!$F$148="Endfällig",IF(8=ROUND(('Annahmen'!$E$148)*12,0),(IF(8=1,'Annahmen'!$C$148,G292)),0),MIN('Annahmen'!$C$148/(MAX(ROUND(('Annahmen'!$E$148)*12,0)-(0)*12,1)),(IF(8=1,'Annahmen'!$C$148,G292)))))),0)</f>
      </c>
      <c r="H164" s="51">
        <f>IF(AND(8&gt;=1,8&lt;=ROUND(('Annahmen'!$E$149)*12,0)),IF(8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121,(IF(8=1,'Annahmen'!$C$149,H292))),IF('Annahmen'!$F$149="Endfällig",IF(8=ROUND(('Annahmen'!$E$149)*12,0),(IF(8=1,'Annahmen'!$C$149,H292)),0),MIN('Annahmen'!$C$149/(MAX(ROUND(('Annahmen'!$E$149)*12,0)-(0)*12,1)),(IF(8=1,'Annahmen'!$C$149,H292)))))),0)</f>
      </c>
      <c r="I164" s="51">
        <f>IF(AND(8&gt;=1,8&lt;=ROUND(('Annahmen'!$E$150)*12,0)),IF(8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121,(IF(8=1,'Annahmen'!$C$150,I292))),IF('Annahmen'!$F$150="Endfällig",IF(8=ROUND(('Annahmen'!$E$150)*12,0),(IF(8=1,'Annahmen'!$C$150,I292)),0),MIN('Annahmen'!$C$150/(MAX(ROUND(('Annahmen'!$E$150)*12,0)-(0)*12,1)),(IF(8=1,'Annahmen'!$C$150,I292)))))),0)</f>
      </c>
      <c r="J164" s="51">
        <v>0</v>
      </c>
      <c r="K164" s="51">
        <v>0</v>
      </c>
      <c r="L164" s="51">
        <v>0</v>
      </c>
      <c r="M164" s="51">
        <v>0</v>
      </c>
      <c r="N164" s="51">
        <v>0</v>
      </c>
      <c r="O164" s="114">
        <f>SUM(C164:N164)</f>
      </c>
    </row>
    <row r="165" ht="15" customHeight="1" hidden="1" spans="2:15" x14ac:dyDescent="0.25" outlineLevel="1" collapsed="1">
      <c r="B165" s="113" t="s">
        <v>228</v>
      </c>
      <c r="C165" s="51">
        <f>IF(AND(9&gt;=1,9&lt;=ROUND(('Annahmen'!$E$144)*12,0)),IF(9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122,(IF(9=1,'Annahmen'!$C$144,C293))),IF('Annahmen'!$F$144="Endfällig",IF(9=ROUND(('Annahmen'!$E$144)*12,0),(IF(9=1,'Annahmen'!$C$144,C293)),0),MIN('Annahmen'!$C$144/(MAX(ROUND(('Annahmen'!$E$144)*12,0)-(0)*12,1)),(IF(9=1,'Annahmen'!$C$144,C293)))))),0)</f>
      </c>
      <c r="D165" s="51">
        <f>IF(AND(9&gt;=1,9&lt;=ROUND(('Annahmen'!$E$145)*12,0)),IF(9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122,(IF(9=1,'Annahmen'!$C$145,D293))),IF('Annahmen'!$F$145="Endfällig",IF(9=ROUND(('Annahmen'!$E$145)*12,0),(IF(9=1,'Annahmen'!$C$145,D293)),0),MIN('Annahmen'!$C$145/(MAX(ROUND(('Annahmen'!$E$145)*12,0)-(0)*12,1)),(IF(9=1,'Annahmen'!$C$145,D293)))))),0)</f>
      </c>
      <c r="E165" s="51">
        <f>IF(AND(9&gt;=1,9&lt;=ROUND(('Annahmen'!$E$146)*12,0)),IF(9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122,(IF(9=1,'Annahmen'!$C$146,E293))),IF('Annahmen'!$F$146="Endfällig",IF(9=ROUND(('Annahmen'!$E$146)*12,0),(IF(9=1,'Annahmen'!$C$146,E293)),0),MIN('Annahmen'!$C$146/(MAX(ROUND(('Annahmen'!$E$146)*12,0)-(0)*12,1)),(IF(9=1,'Annahmen'!$C$146,E293)))))),0)</f>
      </c>
      <c r="F165" s="51">
        <f>IF(AND(9&gt;=1,9&lt;=ROUND(('Annahmen'!$E$147)*12,0)),IF(9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122,(IF(9=1,'Annahmen'!$C$147,F293))),IF('Annahmen'!$F$147="Endfällig",IF(9=ROUND(('Annahmen'!$E$147)*12,0),(IF(9=1,'Annahmen'!$C$147,F293)),0),MIN('Annahmen'!$C$147/(MAX(ROUND(('Annahmen'!$E$147)*12,0)-(0)*12,1)),(IF(9=1,'Annahmen'!$C$147,F293)))))),0)</f>
      </c>
      <c r="G165" s="51">
        <f>IF(AND(9&gt;=1,9&lt;=ROUND(('Annahmen'!$E$148)*12,0)),IF(9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122,(IF(9=1,'Annahmen'!$C$148,G293))),IF('Annahmen'!$F$148="Endfällig",IF(9=ROUND(('Annahmen'!$E$148)*12,0),(IF(9=1,'Annahmen'!$C$148,G293)),0),MIN('Annahmen'!$C$148/(MAX(ROUND(('Annahmen'!$E$148)*12,0)-(0)*12,1)),(IF(9=1,'Annahmen'!$C$148,G293)))))),0)</f>
      </c>
      <c r="H165" s="51">
        <f>IF(AND(9&gt;=1,9&lt;=ROUND(('Annahmen'!$E$149)*12,0)),IF(9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122,(IF(9=1,'Annahmen'!$C$149,H293))),IF('Annahmen'!$F$149="Endfällig",IF(9=ROUND(('Annahmen'!$E$149)*12,0),(IF(9=1,'Annahmen'!$C$149,H293)),0),MIN('Annahmen'!$C$149/(MAX(ROUND(('Annahmen'!$E$149)*12,0)-(0)*12,1)),(IF(9=1,'Annahmen'!$C$149,H293)))))),0)</f>
      </c>
      <c r="I165" s="51">
        <f>IF(AND(9&gt;=1,9&lt;=ROUND(('Annahmen'!$E$150)*12,0)),IF(9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122,(IF(9=1,'Annahmen'!$C$150,I293))),IF('Annahmen'!$F$150="Endfällig",IF(9=ROUND(('Annahmen'!$E$150)*12,0),(IF(9=1,'Annahmen'!$C$150,I293)),0),MIN('Annahmen'!$C$150/(MAX(ROUND(('Annahmen'!$E$150)*12,0)-(0)*12,1)),(IF(9=1,'Annahmen'!$C$150,I293)))))),0)</f>
      </c>
      <c r="J165" s="51">
        <v>0</v>
      </c>
      <c r="K165" s="51">
        <v>0</v>
      </c>
      <c r="L165" s="51">
        <v>0</v>
      </c>
      <c r="M165" s="51">
        <v>0</v>
      </c>
      <c r="N165" s="51">
        <v>0</v>
      </c>
      <c r="O165" s="114">
        <f>SUM(C165:N165)</f>
      </c>
    </row>
    <row r="166" ht="15" customHeight="1" hidden="1" spans="2:15" x14ac:dyDescent="0.25" outlineLevel="1" collapsed="1">
      <c r="B166" s="113" t="s">
        <v>229</v>
      </c>
      <c r="C166" s="51">
        <f>IF(AND(10&gt;=1,10&lt;=ROUND(('Annahmen'!$E$144)*12,0)),IF(10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123,(IF(10=1,'Annahmen'!$C$144,C294))),IF('Annahmen'!$F$144="Endfällig",IF(10=ROUND(('Annahmen'!$E$144)*12,0),(IF(10=1,'Annahmen'!$C$144,C294)),0),MIN('Annahmen'!$C$144/(MAX(ROUND(('Annahmen'!$E$144)*12,0)-(0)*12,1)),(IF(10=1,'Annahmen'!$C$144,C294)))))),0)</f>
      </c>
      <c r="D166" s="51">
        <f>IF(AND(10&gt;=1,10&lt;=ROUND(('Annahmen'!$E$145)*12,0)),IF(10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123,(IF(10=1,'Annahmen'!$C$145,D294))),IF('Annahmen'!$F$145="Endfällig",IF(10=ROUND(('Annahmen'!$E$145)*12,0),(IF(10=1,'Annahmen'!$C$145,D294)),0),MIN('Annahmen'!$C$145/(MAX(ROUND(('Annahmen'!$E$145)*12,0)-(0)*12,1)),(IF(10=1,'Annahmen'!$C$145,D294)))))),0)</f>
      </c>
      <c r="E166" s="51">
        <f>IF(AND(10&gt;=1,10&lt;=ROUND(('Annahmen'!$E$146)*12,0)),IF(10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123,(IF(10=1,'Annahmen'!$C$146,E294))),IF('Annahmen'!$F$146="Endfällig",IF(10=ROUND(('Annahmen'!$E$146)*12,0),(IF(10=1,'Annahmen'!$C$146,E294)),0),MIN('Annahmen'!$C$146/(MAX(ROUND(('Annahmen'!$E$146)*12,0)-(0)*12,1)),(IF(10=1,'Annahmen'!$C$146,E294)))))),0)</f>
      </c>
      <c r="F166" s="51">
        <f>IF(AND(10&gt;=1,10&lt;=ROUND(('Annahmen'!$E$147)*12,0)),IF(10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123,(IF(10=1,'Annahmen'!$C$147,F294))),IF('Annahmen'!$F$147="Endfällig",IF(10=ROUND(('Annahmen'!$E$147)*12,0),(IF(10=1,'Annahmen'!$C$147,F294)),0),MIN('Annahmen'!$C$147/(MAX(ROUND(('Annahmen'!$E$147)*12,0)-(0)*12,1)),(IF(10=1,'Annahmen'!$C$147,F294)))))),0)</f>
      </c>
      <c r="G166" s="51">
        <f>IF(AND(10&gt;=1,10&lt;=ROUND(('Annahmen'!$E$148)*12,0)),IF(10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123,(IF(10=1,'Annahmen'!$C$148,G294))),IF('Annahmen'!$F$148="Endfällig",IF(10=ROUND(('Annahmen'!$E$148)*12,0),(IF(10=1,'Annahmen'!$C$148,G294)),0),MIN('Annahmen'!$C$148/(MAX(ROUND(('Annahmen'!$E$148)*12,0)-(0)*12,1)),(IF(10=1,'Annahmen'!$C$148,G294)))))),0)</f>
      </c>
      <c r="H166" s="51">
        <f>IF(AND(10&gt;=1,10&lt;=ROUND(('Annahmen'!$E$149)*12,0)),IF(10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123,(IF(10=1,'Annahmen'!$C$149,H294))),IF('Annahmen'!$F$149="Endfällig",IF(10=ROUND(('Annahmen'!$E$149)*12,0),(IF(10=1,'Annahmen'!$C$149,H294)),0),MIN('Annahmen'!$C$149/(MAX(ROUND(('Annahmen'!$E$149)*12,0)-(0)*12,1)),(IF(10=1,'Annahmen'!$C$149,H294)))))),0)</f>
      </c>
      <c r="I166" s="51">
        <f>IF(AND(10&gt;=1,10&lt;=ROUND(('Annahmen'!$E$150)*12,0)),IF(10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123,(IF(10=1,'Annahmen'!$C$150,I294))),IF('Annahmen'!$F$150="Endfällig",IF(10=ROUND(('Annahmen'!$E$150)*12,0),(IF(10=1,'Annahmen'!$C$150,I294)),0),MIN('Annahmen'!$C$150/(MAX(ROUND(('Annahmen'!$E$150)*12,0)-(0)*12,1)),(IF(10=1,'Annahmen'!$C$150,I294)))))),0)</f>
      </c>
      <c r="J166" s="51">
        <v>0</v>
      </c>
      <c r="K166" s="51">
        <v>0</v>
      </c>
      <c r="L166" s="51">
        <v>0</v>
      </c>
      <c r="M166" s="51">
        <v>0</v>
      </c>
      <c r="N166" s="51">
        <v>0</v>
      </c>
      <c r="O166" s="114">
        <f>SUM(C166:N166)</f>
      </c>
    </row>
    <row r="167" ht="15" customHeight="1" hidden="1" spans="2:15" x14ac:dyDescent="0.25" outlineLevel="1" collapsed="1">
      <c r="B167" s="113" t="s">
        <v>230</v>
      </c>
      <c r="C167" s="51">
        <f>IF(AND(11&gt;=1,11&lt;=ROUND(('Annahmen'!$E$144)*12,0)),IF(11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124,(IF(11=1,'Annahmen'!$C$144,C295))),IF('Annahmen'!$F$144="Endfällig",IF(11=ROUND(('Annahmen'!$E$144)*12,0),(IF(11=1,'Annahmen'!$C$144,C295)),0),MIN('Annahmen'!$C$144/(MAX(ROUND(('Annahmen'!$E$144)*12,0)-(0)*12,1)),(IF(11=1,'Annahmen'!$C$144,C295)))))),0)</f>
      </c>
      <c r="D167" s="51">
        <f>IF(AND(11&gt;=1,11&lt;=ROUND(('Annahmen'!$E$145)*12,0)),IF(11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124,(IF(11=1,'Annahmen'!$C$145,D295))),IF('Annahmen'!$F$145="Endfällig",IF(11=ROUND(('Annahmen'!$E$145)*12,0),(IF(11=1,'Annahmen'!$C$145,D295)),0),MIN('Annahmen'!$C$145/(MAX(ROUND(('Annahmen'!$E$145)*12,0)-(0)*12,1)),(IF(11=1,'Annahmen'!$C$145,D295)))))),0)</f>
      </c>
      <c r="E167" s="51">
        <f>IF(AND(11&gt;=1,11&lt;=ROUND(('Annahmen'!$E$146)*12,0)),IF(11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124,(IF(11=1,'Annahmen'!$C$146,E295))),IF('Annahmen'!$F$146="Endfällig",IF(11=ROUND(('Annahmen'!$E$146)*12,0),(IF(11=1,'Annahmen'!$C$146,E295)),0),MIN('Annahmen'!$C$146/(MAX(ROUND(('Annahmen'!$E$146)*12,0)-(0)*12,1)),(IF(11=1,'Annahmen'!$C$146,E295)))))),0)</f>
      </c>
      <c r="F167" s="51">
        <f>IF(AND(11&gt;=1,11&lt;=ROUND(('Annahmen'!$E$147)*12,0)),IF(11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124,(IF(11=1,'Annahmen'!$C$147,F295))),IF('Annahmen'!$F$147="Endfällig",IF(11=ROUND(('Annahmen'!$E$147)*12,0),(IF(11=1,'Annahmen'!$C$147,F295)),0),MIN('Annahmen'!$C$147/(MAX(ROUND(('Annahmen'!$E$147)*12,0)-(0)*12,1)),(IF(11=1,'Annahmen'!$C$147,F295)))))),0)</f>
      </c>
      <c r="G167" s="51">
        <f>IF(AND(11&gt;=1,11&lt;=ROUND(('Annahmen'!$E$148)*12,0)),IF(11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124,(IF(11=1,'Annahmen'!$C$148,G295))),IF('Annahmen'!$F$148="Endfällig",IF(11=ROUND(('Annahmen'!$E$148)*12,0),(IF(11=1,'Annahmen'!$C$148,G295)),0),MIN('Annahmen'!$C$148/(MAX(ROUND(('Annahmen'!$E$148)*12,0)-(0)*12,1)),(IF(11=1,'Annahmen'!$C$148,G295)))))),0)</f>
      </c>
      <c r="H167" s="51">
        <f>IF(AND(11&gt;=1,11&lt;=ROUND(('Annahmen'!$E$149)*12,0)),IF(11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124,(IF(11=1,'Annahmen'!$C$149,H295))),IF('Annahmen'!$F$149="Endfällig",IF(11=ROUND(('Annahmen'!$E$149)*12,0),(IF(11=1,'Annahmen'!$C$149,H295)),0),MIN('Annahmen'!$C$149/(MAX(ROUND(('Annahmen'!$E$149)*12,0)-(0)*12,1)),(IF(11=1,'Annahmen'!$C$149,H295)))))),0)</f>
      </c>
      <c r="I167" s="51">
        <f>IF(AND(11&gt;=1,11&lt;=ROUND(('Annahmen'!$E$150)*12,0)),IF(11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124,(IF(11=1,'Annahmen'!$C$150,I295))),IF('Annahmen'!$F$150="Endfällig",IF(11=ROUND(('Annahmen'!$E$150)*12,0),(IF(11=1,'Annahmen'!$C$150,I295)),0),MIN('Annahmen'!$C$150/(MAX(ROUND(('Annahmen'!$E$150)*12,0)-(0)*12,1)),(IF(11=1,'Annahmen'!$C$150,I295)))))),0)</f>
      </c>
      <c r="J167" s="51">
        <v>0</v>
      </c>
      <c r="K167" s="51">
        <v>0</v>
      </c>
      <c r="L167" s="51">
        <v>0</v>
      </c>
      <c r="M167" s="51">
        <v>0</v>
      </c>
      <c r="N167" s="51">
        <v>0</v>
      </c>
      <c r="O167" s="114">
        <f>SUM(C167:N167)</f>
      </c>
    </row>
    <row r="168" ht="15" customHeight="1" hidden="1" spans="2:15" x14ac:dyDescent="0.25" outlineLevel="1" collapsed="1">
      <c r="B168" s="113" t="s">
        <v>231</v>
      </c>
      <c r="C168" s="51">
        <f>IF(AND(12&gt;=1,12&lt;=ROUND(('Annahmen'!$E$144)*12,0)),IF(12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125,(IF(12=1,'Annahmen'!$C$144,C296))),IF('Annahmen'!$F$144="Endfällig",IF(12=ROUND(('Annahmen'!$E$144)*12,0),(IF(12=1,'Annahmen'!$C$144,C296)),0),MIN('Annahmen'!$C$144/(MAX(ROUND(('Annahmen'!$E$144)*12,0)-(0)*12,1)),(IF(12=1,'Annahmen'!$C$144,C296)))))),0)</f>
      </c>
      <c r="D168" s="51">
        <f>IF(AND(12&gt;=1,12&lt;=ROUND(('Annahmen'!$E$145)*12,0)),IF(12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125,(IF(12=1,'Annahmen'!$C$145,D296))),IF('Annahmen'!$F$145="Endfällig",IF(12=ROUND(('Annahmen'!$E$145)*12,0),(IF(12=1,'Annahmen'!$C$145,D296)),0),MIN('Annahmen'!$C$145/(MAX(ROUND(('Annahmen'!$E$145)*12,0)-(0)*12,1)),(IF(12=1,'Annahmen'!$C$145,D296)))))),0)</f>
      </c>
      <c r="E168" s="51">
        <f>IF(AND(12&gt;=1,12&lt;=ROUND(('Annahmen'!$E$146)*12,0)),IF(12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125,(IF(12=1,'Annahmen'!$C$146,E296))),IF('Annahmen'!$F$146="Endfällig",IF(12=ROUND(('Annahmen'!$E$146)*12,0),(IF(12=1,'Annahmen'!$C$146,E296)),0),MIN('Annahmen'!$C$146/(MAX(ROUND(('Annahmen'!$E$146)*12,0)-(0)*12,1)),(IF(12=1,'Annahmen'!$C$146,E296)))))),0)</f>
      </c>
      <c r="F168" s="51">
        <f>IF(AND(12&gt;=1,12&lt;=ROUND(('Annahmen'!$E$147)*12,0)),IF(12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125,(IF(12=1,'Annahmen'!$C$147,F296))),IF('Annahmen'!$F$147="Endfällig",IF(12=ROUND(('Annahmen'!$E$147)*12,0),(IF(12=1,'Annahmen'!$C$147,F296)),0),MIN('Annahmen'!$C$147/(MAX(ROUND(('Annahmen'!$E$147)*12,0)-(0)*12,1)),(IF(12=1,'Annahmen'!$C$147,F296)))))),0)</f>
      </c>
      <c r="G168" s="51">
        <f>IF(AND(12&gt;=1,12&lt;=ROUND(('Annahmen'!$E$148)*12,0)),IF(12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125,(IF(12=1,'Annahmen'!$C$148,G296))),IF('Annahmen'!$F$148="Endfällig",IF(12=ROUND(('Annahmen'!$E$148)*12,0),(IF(12=1,'Annahmen'!$C$148,G296)),0),MIN('Annahmen'!$C$148/(MAX(ROUND(('Annahmen'!$E$148)*12,0)-(0)*12,1)),(IF(12=1,'Annahmen'!$C$148,G296)))))),0)</f>
      </c>
      <c r="H168" s="51">
        <f>IF(AND(12&gt;=1,12&lt;=ROUND(('Annahmen'!$E$149)*12,0)),IF(12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125,(IF(12=1,'Annahmen'!$C$149,H296))),IF('Annahmen'!$F$149="Endfällig",IF(12=ROUND(('Annahmen'!$E$149)*12,0),(IF(12=1,'Annahmen'!$C$149,H296)),0),MIN('Annahmen'!$C$149/(MAX(ROUND(('Annahmen'!$E$149)*12,0)-(0)*12,1)),(IF(12=1,'Annahmen'!$C$149,H296)))))),0)</f>
      </c>
      <c r="I168" s="51">
        <f>IF(AND(12&gt;=1,12&lt;=ROUND(('Annahmen'!$E$150)*12,0)),IF(12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125,(IF(12=1,'Annahmen'!$C$150,I296))),IF('Annahmen'!$F$150="Endfällig",IF(12=ROUND(('Annahmen'!$E$150)*12,0),(IF(12=1,'Annahmen'!$C$150,I296)),0),MIN('Annahmen'!$C$150/(MAX(ROUND(('Annahmen'!$E$150)*12,0)-(0)*12,1)),(IF(12=1,'Annahmen'!$C$150,I296)))))),0)</f>
      </c>
      <c r="J168" s="51">
        <v>0</v>
      </c>
      <c r="K168" s="51">
        <v>0</v>
      </c>
      <c r="L168" s="51">
        <v>0</v>
      </c>
      <c r="M168" s="51">
        <v>0</v>
      </c>
      <c r="N168" s="51">
        <v>0</v>
      </c>
      <c r="O168" s="114">
        <f>SUM(C168:N168)</f>
      </c>
    </row>
    <row r="169" ht="15" customHeight="1" hidden="1" spans="2:15" x14ac:dyDescent="0.25" outlineLevel="1" collapsed="1">
      <c r="B169" s="115" t="s">
        <v>232</v>
      </c>
      <c r="C169" s="23">
        <f>SUM(C157:C168)</f>
      </c>
      <c r="D169" s="23">
        <f>SUM(D157:D168)</f>
      </c>
      <c r="E169" s="23">
        <f>SUM(E157:E168)</f>
      </c>
      <c r="F169" s="23">
        <f>SUM(F157:F168)</f>
      </c>
      <c r="G169" s="23">
        <f>SUM(G157:G168)</f>
      </c>
      <c r="H169" s="23">
        <f>SUM(H157:H168)</f>
      </c>
      <c r="I169" s="23">
        <f>SUM(I157:I168)</f>
      </c>
      <c r="J169" s="23">
        <f>SUM(J157:J168)</f>
      </c>
      <c r="K169" s="23">
        <f>SUM(K157:K168)</f>
      </c>
      <c r="L169" s="23">
        <f>SUM(L157:L168)</f>
      </c>
      <c r="M169" s="23">
        <f>SUM(M157:M168)</f>
      </c>
      <c r="N169" s="23">
        <f>SUM(N157:N168)</f>
      </c>
      <c r="O169" s="116">
        <f>SUM(O157:O168)</f>
      </c>
    </row>
    <row r="170" ht="15" customHeight="1" hidden="1" spans="2:15" x14ac:dyDescent="0.25" outlineLevel="1" collapsed="1">
      <c r="B170" s="113" t="s">
        <v>233</v>
      </c>
      <c r="C170" s="51">
        <f>IF(AND(13&gt;=1,13&lt;=ROUND(('Annahmen'!$E$144)*12,0)),IF(13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127,(IF(13=1,'Annahmen'!$C$144,C297))),IF('Annahmen'!$F$144="Endfällig",IF(13=ROUND(('Annahmen'!$E$144)*12,0),(IF(13=1,'Annahmen'!$C$144,C297)),0),MIN('Annahmen'!$C$144/(MAX(ROUND(('Annahmen'!$E$144)*12,0)-(0)*12,1)),(IF(13=1,'Annahmen'!$C$144,C297)))))),0)</f>
      </c>
      <c r="D170" s="51">
        <f>IF(AND(13&gt;=1,13&lt;=ROUND(('Annahmen'!$E$145)*12,0)),IF(13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127,(IF(13=1,'Annahmen'!$C$145,D297))),IF('Annahmen'!$F$145="Endfällig",IF(13=ROUND(('Annahmen'!$E$145)*12,0),(IF(13=1,'Annahmen'!$C$145,D297)),0),MIN('Annahmen'!$C$145/(MAX(ROUND(('Annahmen'!$E$145)*12,0)-(0)*12,1)),(IF(13=1,'Annahmen'!$C$145,D297)))))),0)</f>
      </c>
      <c r="E170" s="51">
        <f>IF(AND(13&gt;=1,13&lt;=ROUND(('Annahmen'!$E$146)*12,0)),IF(13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127,(IF(13=1,'Annahmen'!$C$146,E297))),IF('Annahmen'!$F$146="Endfällig",IF(13=ROUND(('Annahmen'!$E$146)*12,0),(IF(13=1,'Annahmen'!$C$146,E297)),0),MIN('Annahmen'!$C$146/(MAX(ROUND(('Annahmen'!$E$146)*12,0)-(0)*12,1)),(IF(13=1,'Annahmen'!$C$146,E297)))))),0)</f>
      </c>
      <c r="F170" s="51">
        <f>IF(AND(13&gt;=1,13&lt;=ROUND(('Annahmen'!$E$147)*12,0)),IF(13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127,(IF(13=1,'Annahmen'!$C$147,F297))),IF('Annahmen'!$F$147="Endfällig",IF(13=ROUND(('Annahmen'!$E$147)*12,0),(IF(13=1,'Annahmen'!$C$147,F297)),0),MIN('Annahmen'!$C$147/(MAX(ROUND(('Annahmen'!$E$147)*12,0)-(0)*12,1)),(IF(13=1,'Annahmen'!$C$147,F297)))))),0)</f>
      </c>
      <c r="G170" s="51">
        <f>IF(AND(13&gt;=1,13&lt;=ROUND(('Annahmen'!$E$148)*12,0)),IF(13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127,(IF(13=1,'Annahmen'!$C$148,G297))),IF('Annahmen'!$F$148="Endfällig",IF(13=ROUND(('Annahmen'!$E$148)*12,0),(IF(13=1,'Annahmen'!$C$148,G297)),0),MIN('Annahmen'!$C$148/(MAX(ROUND(('Annahmen'!$E$148)*12,0)-(0)*12,1)),(IF(13=1,'Annahmen'!$C$148,G297)))))),0)</f>
      </c>
      <c r="H170" s="51">
        <f>IF(AND(13&gt;=1,13&lt;=ROUND(('Annahmen'!$E$149)*12,0)),IF(13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127,(IF(13=1,'Annahmen'!$C$149,H297))),IF('Annahmen'!$F$149="Endfällig",IF(13=ROUND(('Annahmen'!$E$149)*12,0),(IF(13=1,'Annahmen'!$C$149,H297)),0),MIN('Annahmen'!$C$149/(MAX(ROUND(('Annahmen'!$E$149)*12,0)-(0)*12,1)),(IF(13=1,'Annahmen'!$C$149,H297)))))),0)</f>
      </c>
      <c r="I170" s="51">
        <f>IF(AND(13&gt;=1,13&lt;=ROUND(('Annahmen'!$E$150)*12,0)),IF(13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127,(IF(13=1,'Annahmen'!$C$150,I297))),IF('Annahmen'!$F$150="Endfällig",IF(13=ROUND(('Annahmen'!$E$150)*12,0),(IF(13=1,'Annahmen'!$C$150,I297)),0),MIN('Annahmen'!$C$150/(MAX(ROUND(('Annahmen'!$E$150)*12,0)-(0)*12,1)),(IF(13=1,'Annahmen'!$C$150,I297)))))),0)</f>
      </c>
      <c r="J170" s="51">
        <v>0</v>
      </c>
      <c r="K170" s="51">
        <v>0</v>
      </c>
      <c r="L170" s="51">
        <v>0</v>
      </c>
      <c r="M170" s="51">
        <v>0</v>
      </c>
      <c r="N170" s="51">
        <v>0</v>
      </c>
      <c r="O170" s="114">
        <f>SUM(C170:N170)</f>
      </c>
    </row>
    <row r="171" ht="15" customHeight="1" hidden="1" spans="2:15" x14ac:dyDescent="0.25" outlineLevel="1" collapsed="1">
      <c r="B171" s="113" t="s">
        <v>234</v>
      </c>
      <c r="C171" s="51">
        <f>IF(AND(14&gt;=1,14&lt;=ROUND(('Annahmen'!$E$144)*12,0)),IF(14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128,(IF(14=1,'Annahmen'!$C$144,C299))),IF('Annahmen'!$F$144="Endfällig",IF(14=ROUND(('Annahmen'!$E$144)*12,0),(IF(14=1,'Annahmen'!$C$144,C299)),0),MIN('Annahmen'!$C$144/(MAX(ROUND(('Annahmen'!$E$144)*12,0)-(0)*12,1)),(IF(14=1,'Annahmen'!$C$144,C299)))))),0)</f>
      </c>
      <c r="D171" s="51">
        <f>IF(AND(14&gt;=1,14&lt;=ROUND(('Annahmen'!$E$145)*12,0)),IF(14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128,(IF(14=1,'Annahmen'!$C$145,D299))),IF('Annahmen'!$F$145="Endfällig",IF(14=ROUND(('Annahmen'!$E$145)*12,0),(IF(14=1,'Annahmen'!$C$145,D299)),0),MIN('Annahmen'!$C$145/(MAX(ROUND(('Annahmen'!$E$145)*12,0)-(0)*12,1)),(IF(14=1,'Annahmen'!$C$145,D299)))))),0)</f>
      </c>
      <c r="E171" s="51">
        <f>IF(AND(14&gt;=1,14&lt;=ROUND(('Annahmen'!$E$146)*12,0)),IF(14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128,(IF(14=1,'Annahmen'!$C$146,E299))),IF('Annahmen'!$F$146="Endfällig",IF(14=ROUND(('Annahmen'!$E$146)*12,0),(IF(14=1,'Annahmen'!$C$146,E299)),0),MIN('Annahmen'!$C$146/(MAX(ROUND(('Annahmen'!$E$146)*12,0)-(0)*12,1)),(IF(14=1,'Annahmen'!$C$146,E299)))))),0)</f>
      </c>
      <c r="F171" s="51">
        <f>IF(AND(14&gt;=1,14&lt;=ROUND(('Annahmen'!$E$147)*12,0)),IF(14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128,(IF(14=1,'Annahmen'!$C$147,F299))),IF('Annahmen'!$F$147="Endfällig",IF(14=ROUND(('Annahmen'!$E$147)*12,0),(IF(14=1,'Annahmen'!$C$147,F299)),0),MIN('Annahmen'!$C$147/(MAX(ROUND(('Annahmen'!$E$147)*12,0)-(0)*12,1)),(IF(14=1,'Annahmen'!$C$147,F299)))))),0)</f>
      </c>
      <c r="G171" s="51">
        <f>IF(AND(14&gt;=1,14&lt;=ROUND(('Annahmen'!$E$148)*12,0)),IF(14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128,(IF(14=1,'Annahmen'!$C$148,G299))),IF('Annahmen'!$F$148="Endfällig",IF(14=ROUND(('Annahmen'!$E$148)*12,0),(IF(14=1,'Annahmen'!$C$148,G299)),0),MIN('Annahmen'!$C$148/(MAX(ROUND(('Annahmen'!$E$148)*12,0)-(0)*12,1)),(IF(14=1,'Annahmen'!$C$148,G299)))))),0)</f>
      </c>
      <c r="H171" s="51">
        <f>IF(AND(14&gt;=1,14&lt;=ROUND(('Annahmen'!$E$149)*12,0)),IF(14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128,(IF(14=1,'Annahmen'!$C$149,H299))),IF('Annahmen'!$F$149="Endfällig",IF(14=ROUND(('Annahmen'!$E$149)*12,0),(IF(14=1,'Annahmen'!$C$149,H299)),0),MIN('Annahmen'!$C$149/(MAX(ROUND(('Annahmen'!$E$149)*12,0)-(0)*12,1)),(IF(14=1,'Annahmen'!$C$149,H299)))))),0)</f>
      </c>
      <c r="I171" s="51">
        <f>IF(AND(14&gt;=1,14&lt;=ROUND(('Annahmen'!$E$150)*12,0)),IF(14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128,(IF(14=1,'Annahmen'!$C$150,I299))),IF('Annahmen'!$F$150="Endfällig",IF(14=ROUND(('Annahmen'!$E$150)*12,0),(IF(14=1,'Annahmen'!$C$150,I299)),0),MIN('Annahmen'!$C$150/(MAX(ROUND(('Annahmen'!$E$150)*12,0)-(0)*12,1)),(IF(14=1,'Annahmen'!$C$150,I299)))))),0)</f>
      </c>
      <c r="J171" s="51">
        <v>0</v>
      </c>
      <c r="K171" s="51">
        <v>0</v>
      </c>
      <c r="L171" s="51">
        <v>0</v>
      </c>
      <c r="M171" s="51">
        <v>0</v>
      </c>
      <c r="N171" s="51">
        <v>0</v>
      </c>
      <c r="O171" s="114">
        <f>SUM(C171:N171)</f>
      </c>
    </row>
    <row r="172" ht="15" customHeight="1" hidden="1" spans="2:15" x14ac:dyDescent="0.25" outlineLevel="1" collapsed="1">
      <c r="B172" s="113" t="s">
        <v>235</v>
      </c>
      <c r="C172" s="51">
        <f>IF(AND(15&gt;=1,15&lt;=ROUND(('Annahmen'!$E$144)*12,0)),IF(15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129,(IF(15=1,'Annahmen'!$C$144,C300))),IF('Annahmen'!$F$144="Endfällig",IF(15=ROUND(('Annahmen'!$E$144)*12,0),(IF(15=1,'Annahmen'!$C$144,C300)),0),MIN('Annahmen'!$C$144/(MAX(ROUND(('Annahmen'!$E$144)*12,0)-(0)*12,1)),(IF(15=1,'Annahmen'!$C$144,C300)))))),0)</f>
      </c>
      <c r="D172" s="51">
        <f>IF(AND(15&gt;=1,15&lt;=ROUND(('Annahmen'!$E$145)*12,0)),IF(15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129,(IF(15=1,'Annahmen'!$C$145,D300))),IF('Annahmen'!$F$145="Endfällig",IF(15=ROUND(('Annahmen'!$E$145)*12,0),(IF(15=1,'Annahmen'!$C$145,D300)),0),MIN('Annahmen'!$C$145/(MAX(ROUND(('Annahmen'!$E$145)*12,0)-(0)*12,1)),(IF(15=1,'Annahmen'!$C$145,D300)))))),0)</f>
      </c>
      <c r="E172" s="51">
        <f>IF(AND(15&gt;=1,15&lt;=ROUND(('Annahmen'!$E$146)*12,0)),IF(15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129,(IF(15=1,'Annahmen'!$C$146,E300))),IF('Annahmen'!$F$146="Endfällig",IF(15=ROUND(('Annahmen'!$E$146)*12,0),(IF(15=1,'Annahmen'!$C$146,E300)),0),MIN('Annahmen'!$C$146/(MAX(ROUND(('Annahmen'!$E$146)*12,0)-(0)*12,1)),(IF(15=1,'Annahmen'!$C$146,E300)))))),0)</f>
      </c>
      <c r="F172" s="51">
        <f>IF(AND(15&gt;=1,15&lt;=ROUND(('Annahmen'!$E$147)*12,0)),IF(15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129,(IF(15=1,'Annahmen'!$C$147,F300))),IF('Annahmen'!$F$147="Endfällig",IF(15=ROUND(('Annahmen'!$E$147)*12,0),(IF(15=1,'Annahmen'!$C$147,F300)),0),MIN('Annahmen'!$C$147/(MAX(ROUND(('Annahmen'!$E$147)*12,0)-(0)*12,1)),(IF(15=1,'Annahmen'!$C$147,F300)))))),0)</f>
      </c>
      <c r="G172" s="51">
        <f>IF(AND(15&gt;=1,15&lt;=ROUND(('Annahmen'!$E$148)*12,0)),IF(15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129,(IF(15=1,'Annahmen'!$C$148,G300))),IF('Annahmen'!$F$148="Endfällig",IF(15=ROUND(('Annahmen'!$E$148)*12,0),(IF(15=1,'Annahmen'!$C$148,G300)),0),MIN('Annahmen'!$C$148/(MAX(ROUND(('Annahmen'!$E$148)*12,0)-(0)*12,1)),(IF(15=1,'Annahmen'!$C$148,G300)))))),0)</f>
      </c>
      <c r="H172" s="51">
        <f>IF(AND(15&gt;=1,15&lt;=ROUND(('Annahmen'!$E$149)*12,0)),IF(15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129,(IF(15=1,'Annahmen'!$C$149,H300))),IF('Annahmen'!$F$149="Endfällig",IF(15=ROUND(('Annahmen'!$E$149)*12,0),(IF(15=1,'Annahmen'!$C$149,H300)),0),MIN('Annahmen'!$C$149/(MAX(ROUND(('Annahmen'!$E$149)*12,0)-(0)*12,1)),(IF(15=1,'Annahmen'!$C$149,H300)))))),0)</f>
      </c>
      <c r="I172" s="51">
        <f>IF(AND(15&gt;=1,15&lt;=ROUND(('Annahmen'!$E$150)*12,0)),IF(15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129,(IF(15=1,'Annahmen'!$C$150,I300))),IF('Annahmen'!$F$150="Endfällig",IF(15=ROUND(('Annahmen'!$E$150)*12,0),(IF(15=1,'Annahmen'!$C$150,I300)),0),MIN('Annahmen'!$C$150/(MAX(ROUND(('Annahmen'!$E$150)*12,0)-(0)*12,1)),(IF(15=1,'Annahmen'!$C$150,I300)))))),0)</f>
      </c>
      <c r="J172" s="51">
        <v>0</v>
      </c>
      <c r="K172" s="51">
        <v>0</v>
      </c>
      <c r="L172" s="51">
        <v>0</v>
      </c>
      <c r="M172" s="51">
        <v>0</v>
      </c>
      <c r="N172" s="51">
        <v>0</v>
      </c>
      <c r="O172" s="114">
        <f>SUM(C172:N172)</f>
      </c>
    </row>
    <row r="173" ht="15" customHeight="1" hidden="1" spans="2:15" x14ac:dyDescent="0.25" outlineLevel="1" collapsed="1">
      <c r="B173" s="113" t="s">
        <v>236</v>
      </c>
      <c r="C173" s="51">
        <f>IF(AND(16&gt;=1,16&lt;=ROUND(('Annahmen'!$E$144)*12,0)),IF(16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130,(IF(16=1,'Annahmen'!$C$144,C301))),IF('Annahmen'!$F$144="Endfällig",IF(16=ROUND(('Annahmen'!$E$144)*12,0),(IF(16=1,'Annahmen'!$C$144,C301)),0),MIN('Annahmen'!$C$144/(MAX(ROUND(('Annahmen'!$E$144)*12,0)-(0)*12,1)),(IF(16=1,'Annahmen'!$C$144,C301)))))),0)</f>
      </c>
      <c r="D173" s="51">
        <f>IF(AND(16&gt;=1,16&lt;=ROUND(('Annahmen'!$E$145)*12,0)),IF(16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130,(IF(16=1,'Annahmen'!$C$145,D301))),IF('Annahmen'!$F$145="Endfällig",IF(16=ROUND(('Annahmen'!$E$145)*12,0),(IF(16=1,'Annahmen'!$C$145,D301)),0),MIN('Annahmen'!$C$145/(MAX(ROUND(('Annahmen'!$E$145)*12,0)-(0)*12,1)),(IF(16=1,'Annahmen'!$C$145,D301)))))),0)</f>
      </c>
      <c r="E173" s="51">
        <f>IF(AND(16&gt;=1,16&lt;=ROUND(('Annahmen'!$E$146)*12,0)),IF(16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130,(IF(16=1,'Annahmen'!$C$146,E301))),IF('Annahmen'!$F$146="Endfällig",IF(16=ROUND(('Annahmen'!$E$146)*12,0),(IF(16=1,'Annahmen'!$C$146,E301)),0),MIN('Annahmen'!$C$146/(MAX(ROUND(('Annahmen'!$E$146)*12,0)-(0)*12,1)),(IF(16=1,'Annahmen'!$C$146,E301)))))),0)</f>
      </c>
      <c r="F173" s="51">
        <f>IF(AND(16&gt;=1,16&lt;=ROUND(('Annahmen'!$E$147)*12,0)),IF(16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130,(IF(16=1,'Annahmen'!$C$147,F301))),IF('Annahmen'!$F$147="Endfällig",IF(16=ROUND(('Annahmen'!$E$147)*12,0),(IF(16=1,'Annahmen'!$C$147,F301)),0),MIN('Annahmen'!$C$147/(MAX(ROUND(('Annahmen'!$E$147)*12,0)-(0)*12,1)),(IF(16=1,'Annahmen'!$C$147,F301)))))),0)</f>
      </c>
      <c r="G173" s="51">
        <f>IF(AND(16&gt;=1,16&lt;=ROUND(('Annahmen'!$E$148)*12,0)),IF(16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130,(IF(16=1,'Annahmen'!$C$148,G301))),IF('Annahmen'!$F$148="Endfällig",IF(16=ROUND(('Annahmen'!$E$148)*12,0),(IF(16=1,'Annahmen'!$C$148,G301)),0),MIN('Annahmen'!$C$148/(MAX(ROUND(('Annahmen'!$E$148)*12,0)-(0)*12,1)),(IF(16=1,'Annahmen'!$C$148,G301)))))),0)</f>
      </c>
      <c r="H173" s="51">
        <f>IF(AND(16&gt;=1,16&lt;=ROUND(('Annahmen'!$E$149)*12,0)),IF(16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130,(IF(16=1,'Annahmen'!$C$149,H301))),IF('Annahmen'!$F$149="Endfällig",IF(16=ROUND(('Annahmen'!$E$149)*12,0),(IF(16=1,'Annahmen'!$C$149,H301)),0),MIN('Annahmen'!$C$149/(MAX(ROUND(('Annahmen'!$E$149)*12,0)-(0)*12,1)),(IF(16=1,'Annahmen'!$C$149,H301)))))),0)</f>
      </c>
      <c r="I173" s="51">
        <f>IF(AND(16&gt;=1,16&lt;=ROUND(('Annahmen'!$E$150)*12,0)),IF(16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130,(IF(16=1,'Annahmen'!$C$150,I301))),IF('Annahmen'!$F$150="Endfällig",IF(16=ROUND(('Annahmen'!$E$150)*12,0),(IF(16=1,'Annahmen'!$C$150,I301)),0),MIN('Annahmen'!$C$150/(MAX(ROUND(('Annahmen'!$E$150)*12,0)-(0)*12,1)),(IF(16=1,'Annahmen'!$C$150,I301)))))),0)</f>
      </c>
      <c r="J173" s="51">
        <v>0</v>
      </c>
      <c r="K173" s="51">
        <v>0</v>
      </c>
      <c r="L173" s="51">
        <v>0</v>
      </c>
      <c r="M173" s="51">
        <v>0</v>
      </c>
      <c r="N173" s="51">
        <v>0</v>
      </c>
      <c r="O173" s="114">
        <f>SUM(C173:N173)</f>
      </c>
    </row>
    <row r="174" ht="15" customHeight="1" hidden="1" spans="2:15" x14ac:dyDescent="0.25" outlineLevel="1" collapsed="1">
      <c r="B174" s="113" t="s">
        <v>237</v>
      </c>
      <c r="C174" s="51">
        <f>IF(AND(17&gt;=1,17&lt;=ROUND(('Annahmen'!$E$144)*12,0)),IF(17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131,(IF(17=1,'Annahmen'!$C$144,C302))),IF('Annahmen'!$F$144="Endfällig",IF(17=ROUND(('Annahmen'!$E$144)*12,0),(IF(17=1,'Annahmen'!$C$144,C302)),0),MIN('Annahmen'!$C$144/(MAX(ROUND(('Annahmen'!$E$144)*12,0)-(0)*12,1)),(IF(17=1,'Annahmen'!$C$144,C302)))))),0)</f>
      </c>
      <c r="D174" s="51">
        <f>IF(AND(17&gt;=1,17&lt;=ROUND(('Annahmen'!$E$145)*12,0)),IF(17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131,(IF(17=1,'Annahmen'!$C$145,D302))),IF('Annahmen'!$F$145="Endfällig",IF(17=ROUND(('Annahmen'!$E$145)*12,0),(IF(17=1,'Annahmen'!$C$145,D302)),0),MIN('Annahmen'!$C$145/(MAX(ROUND(('Annahmen'!$E$145)*12,0)-(0)*12,1)),(IF(17=1,'Annahmen'!$C$145,D302)))))),0)</f>
      </c>
      <c r="E174" s="51">
        <f>IF(AND(17&gt;=1,17&lt;=ROUND(('Annahmen'!$E$146)*12,0)),IF(17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131,(IF(17=1,'Annahmen'!$C$146,E302))),IF('Annahmen'!$F$146="Endfällig",IF(17=ROUND(('Annahmen'!$E$146)*12,0),(IF(17=1,'Annahmen'!$C$146,E302)),0),MIN('Annahmen'!$C$146/(MAX(ROUND(('Annahmen'!$E$146)*12,0)-(0)*12,1)),(IF(17=1,'Annahmen'!$C$146,E302)))))),0)</f>
      </c>
      <c r="F174" s="51">
        <f>IF(AND(17&gt;=1,17&lt;=ROUND(('Annahmen'!$E$147)*12,0)),IF(17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131,(IF(17=1,'Annahmen'!$C$147,F302))),IF('Annahmen'!$F$147="Endfällig",IF(17=ROUND(('Annahmen'!$E$147)*12,0),(IF(17=1,'Annahmen'!$C$147,F302)),0),MIN('Annahmen'!$C$147/(MAX(ROUND(('Annahmen'!$E$147)*12,0)-(0)*12,1)),(IF(17=1,'Annahmen'!$C$147,F302)))))),0)</f>
      </c>
      <c r="G174" s="51">
        <f>IF(AND(17&gt;=1,17&lt;=ROUND(('Annahmen'!$E$148)*12,0)),IF(17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131,(IF(17=1,'Annahmen'!$C$148,G302))),IF('Annahmen'!$F$148="Endfällig",IF(17=ROUND(('Annahmen'!$E$148)*12,0),(IF(17=1,'Annahmen'!$C$148,G302)),0),MIN('Annahmen'!$C$148/(MAX(ROUND(('Annahmen'!$E$148)*12,0)-(0)*12,1)),(IF(17=1,'Annahmen'!$C$148,G302)))))),0)</f>
      </c>
      <c r="H174" s="51">
        <f>IF(AND(17&gt;=1,17&lt;=ROUND(('Annahmen'!$E$149)*12,0)),IF(17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131,(IF(17=1,'Annahmen'!$C$149,H302))),IF('Annahmen'!$F$149="Endfällig",IF(17=ROUND(('Annahmen'!$E$149)*12,0),(IF(17=1,'Annahmen'!$C$149,H302)),0),MIN('Annahmen'!$C$149/(MAX(ROUND(('Annahmen'!$E$149)*12,0)-(0)*12,1)),(IF(17=1,'Annahmen'!$C$149,H302)))))),0)</f>
      </c>
      <c r="I174" s="51">
        <f>IF(AND(17&gt;=1,17&lt;=ROUND(('Annahmen'!$E$150)*12,0)),IF(17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131,(IF(17=1,'Annahmen'!$C$150,I302))),IF('Annahmen'!$F$150="Endfällig",IF(17=ROUND(('Annahmen'!$E$150)*12,0),(IF(17=1,'Annahmen'!$C$150,I302)),0),MIN('Annahmen'!$C$150/(MAX(ROUND(('Annahmen'!$E$150)*12,0)-(0)*12,1)),(IF(17=1,'Annahmen'!$C$150,I302)))))),0)</f>
      </c>
      <c r="J174" s="51">
        <v>0</v>
      </c>
      <c r="K174" s="51">
        <v>0</v>
      </c>
      <c r="L174" s="51">
        <v>0</v>
      </c>
      <c r="M174" s="51">
        <v>0</v>
      </c>
      <c r="N174" s="51">
        <v>0</v>
      </c>
      <c r="O174" s="114">
        <f>SUM(C174:N174)</f>
      </c>
    </row>
    <row r="175" ht="15" customHeight="1" hidden="1" spans="2:15" x14ac:dyDescent="0.25" outlineLevel="1" collapsed="1">
      <c r="B175" s="113" t="s">
        <v>238</v>
      </c>
      <c r="C175" s="51">
        <f>IF(AND(18&gt;=1,18&lt;=ROUND(('Annahmen'!$E$144)*12,0)),IF(18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132,(IF(18=1,'Annahmen'!$C$144,C303))),IF('Annahmen'!$F$144="Endfällig",IF(18=ROUND(('Annahmen'!$E$144)*12,0),(IF(18=1,'Annahmen'!$C$144,C303)),0),MIN('Annahmen'!$C$144/(MAX(ROUND(('Annahmen'!$E$144)*12,0)-(0)*12,1)),(IF(18=1,'Annahmen'!$C$144,C303)))))),0)</f>
      </c>
      <c r="D175" s="51">
        <f>IF(AND(18&gt;=1,18&lt;=ROUND(('Annahmen'!$E$145)*12,0)),IF(18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132,(IF(18=1,'Annahmen'!$C$145,D303))),IF('Annahmen'!$F$145="Endfällig",IF(18=ROUND(('Annahmen'!$E$145)*12,0),(IF(18=1,'Annahmen'!$C$145,D303)),0),MIN('Annahmen'!$C$145/(MAX(ROUND(('Annahmen'!$E$145)*12,0)-(0)*12,1)),(IF(18=1,'Annahmen'!$C$145,D303)))))),0)</f>
      </c>
      <c r="E175" s="51">
        <f>IF(AND(18&gt;=1,18&lt;=ROUND(('Annahmen'!$E$146)*12,0)),IF(18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132,(IF(18=1,'Annahmen'!$C$146,E303))),IF('Annahmen'!$F$146="Endfällig",IF(18=ROUND(('Annahmen'!$E$146)*12,0),(IF(18=1,'Annahmen'!$C$146,E303)),0),MIN('Annahmen'!$C$146/(MAX(ROUND(('Annahmen'!$E$146)*12,0)-(0)*12,1)),(IF(18=1,'Annahmen'!$C$146,E303)))))),0)</f>
      </c>
      <c r="F175" s="51">
        <f>IF(AND(18&gt;=1,18&lt;=ROUND(('Annahmen'!$E$147)*12,0)),IF(18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132,(IF(18=1,'Annahmen'!$C$147,F303))),IF('Annahmen'!$F$147="Endfällig",IF(18=ROUND(('Annahmen'!$E$147)*12,0),(IF(18=1,'Annahmen'!$C$147,F303)),0),MIN('Annahmen'!$C$147/(MAX(ROUND(('Annahmen'!$E$147)*12,0)-(0)*12,1)),(IF(18=1,'Annahmen'!$C$147,F303)))))),0)</f>
      </c>
      <c r="G175" s="51">
        <f>IF(AND(18&gt;=1,18&lt;=ROUND(('Annahmen'!$E$148)*12,0)),IF(18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132,(IF(18=1,'Annahmen'!$C$148,G303))),IF('Annahmen'!$F$148="Endfällig",IF(18=ROUND(('Annahmen'!$E$148)*12,0),(IF(18=1,'Annahmen'!$C$148,G303)),0),MIN('Annahmen'!$C$148/(MAX(ROUND(('Annahmen'!$E$148)*12,0)-(0)*12,1)),(IF(18=1,'Annahmen'!$C$148,G303)))))),0)</f>
      </c>
      <c r="H175" s="51">
        <f>IF(AND(18&gt;=1,18&lt;=ROUND(('Annahmen'!$E$149)*12,0)),IF(18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132,(IF(18=1,'Annahmen'!$C$149,H303))),IF('Annahmen'!$F$149="Endfällig",IF(18=ROUND(('Annahmen'!$E$149)*12,0),(IF(18=1,'Annahmen'!$C$149,H303)),0),MIN('Annahmen'!$C$149/(MAX(ROUND(('Annahmen'!$E$149)*12,0)-(0)*12,1)),(IF(18=1,'Annahmen'!$C$149,H303)))))),0)</f>
      </c>
      <c r="I175" s="51">
        <f>IF(AND(18&gt;=1,18&lt;=ROUND(('Annahmen'!$E$150)*12,0)),IF(18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132,(IF(18=1,'Annahmen'!$C$150,I303))),IF('Annahmen'!$F$150="Endfällig",IF(18=ROUND(('Annahmen'!$E$150)*12,0),(IF(18=1,'Annahmen'!$C$150,I303)),0),MIN('Annahmen'!$C$150/(MAX(ROUND(('Annahmen'!$E$150)*12,0)-(0)*12,1)),(IF(18=1,'Annahmen'!$C$150,I303)))))),0)</f>
      </c>
      <c r="J175" s="51">
        <v>0</v>
      </c>
      <c r="K175" s="51">
        <v>0</v>
      </c>
      <c r="L175" s="51">
        <v>0</v>
      </c>
      <c r="M175" s="51">
        <v>0</v>
      </c>
      <c r="N175" s="51">
        <v>0</v>
      </c>
      <c r="O175" s="114">
        <f>SUM(C175:N175)</f>
      </c>
    </row>
    <row r="176" ht="15" customHeight="1" hidden="1" spans="2:15" x14ac:dyDescent="0.25" outlineLevel="1" collapsed="1">
      <c r="B176" s="113" t="s">
        <v>239</v>
      </c>
      <c r="C176" s="51">
        <f>IF(AND(19&gt;=1,19&lt;=ROUND(('Annahmen'!$E$144)*12,0)),IF(19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133,(IF(19=1,'Annahmen'!$C$144,C304))),IF('Annahmen'!$F$144="Endfällig",IF(19=ROUND(('Annahmen'!$E$144)*12,0),(IF(19=1,'Annahmen'!$C$144,C304)),0),MIN('Annahmen'!$C$144/(MAX(ROUND(('Annahmen'!$E$144)*12,0)-(0)*12,1)),(IF(19=1,'Annahmen'!$C$144,C304)))))),0)</f>
      </c>
      <c r="D176" s="51">
        <f>IF(AND(19&gt;=1,19&lt;=ROUND(('Annahmen'!$E$145)*12,0)),IF(19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133,(IF(19=1,'Annahmen'!$C$145,D304))),IF('Annahmen'!$F$145="Endfällig",IF(19=ROUND(('Annahmen'!$E$145)*12,0),(IF(19=1,'Annahmen'!$C$145,D304)),0),MIN('Annahmen'!$C$145/(MAX(ROUND(('Annahmen'!$E$145)*12,0)-(0)*12,1)),(IF(19=1,'Annahmen'!$C$145,D304)))))),0)</f>
      </c>
      <c r="E176" s="51">
        <f>IF(AND(19&gt;=1,19&lt;=ROUND(('Annahmen'!$E$146)*12,0)),IF(19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133,(IF(19=1,'Annahmen'!$C$146,E304))),IF('Annahmen'!$F$146="Endfällig",IF(19=ROUND(('Annahmen'!$E$146)*12,0),(IF(19=1,'Annahmen'!$C$146,E304)),0),MIN('Annahmen'!$C$146/(MAX(ROUND(('Annahmen'!$E$146)*12,0)-(0)*12,1)),(IF(19=1,'Annahmen'!$C$146,E304)))))),0)</f>
      </c>
      <c r="F176" s="51">
        <f>IF(AND(19&gt;=1,19&lt;=ROUND(('Annahmen'!$E$147)*12,0)),IF(19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133,(IF(19=1,'Annahmen'!$C$147,F304))),IF('Annahmen'!$F$147="Endfällig",IF(19=ROUND(('Annahmen'!$E$147)*12,0),(IF(19=1,'Annahmen'!$C$147,F304)),0),MIN('Annahmen'!$C$147/(MAX(ROUND(('Annahmen'!$E$147)*12,0)-(0)*12,1)),(IF(19=1,'Annahmen'!$C$147,F304)))))),0)</f>
      </c>
      <c r="G176" s="51">
        <f>IF(AND(19&gt;=1,19&lt;=ROUND(('Annahmen'!$E$148)*12,0)),IF(19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133,(IF(19=1,'Annahmen'!$C$148,G304))),IF('Annahmen'!$F$148="Endfällig",IF(19=ROUND(('Annahmen'!$E$148)*12,0),(IF(19=1,'Annahmen'!$C$148,G304)),0),MIN('Annahmen'!$C$148/(MAX(ROUND(('Annahmen'!$E$148)*12,0)-(0)*12,1)),(IF(19=1,'Annahmen'!$C$148,G304)))))),0)</f>
      </c>
      <c r="H176" s="51">
        <f>IF(AND(19&gt;=1,19&lt;=ROUND(('Annahmen'!$E$149)*12,0)),IF(19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133,(IF(19=1,'Annahmen'!$C$149,H304))),IF('Annahmen'!$F$149="Endfällig",IF(19=ROUND(('Annahmen'!$E$149)*12,0),(IF(19=1,'Annahmen'!$C$149,H304)),0),MIN('Annahmen'!$C$149/(MAX(ROUND(('Annahmen'!$E$149)*12,0)-(0)*12,1)),(IF(19=1,'Annahmen'!$C$149,H304)))))),0)</f>
      </c>
      <c r="I176" s="51">
        <f>IF(AND(19&gt;=1,19&lt;=ROUND(('Annahmen'!$E$150)*12,0)),IF(19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133,(IF(19=1,'Annahmen'!$C$150,I304))),IF('Annahmen'!$F$150="Endfällig",IF(19=ROUND(('Annahmen'!$E$150)*12,0),(IF(19=1,'Annahmen'!$C$150,I304)),0),MIN('Annahmen'!$C$150/(MAX(ROUND(('Annahmen'!$E$150)*12,0)-(0)*12,1)),(IF(19=1,'Annahmen'!$C$150,I304)))))),0)</f>
      </c>
      <c r="J176" s="51">
        <v>0</v>
      </c>
      <c r="K176" s="51">
        <v>0</v>
      </c>
      <c r="L176" s="51">
        <v>0</v>
      </c>
      <c r="M176" s="51">
        <v>0</v>
      </c>
      <c r="N176" s="51">
        <v>0</v>
      </c>
      <c r="O176" s="114">
        <f>SUM(C176:N176)</f>
      </c>
    </row>
    <row r="177" ht="15" customHeight="1" hidden="1" spans="2:15" x14ac:dyDescent="0.25" outlineLevel="1" collapsed="1">
      <c r="B177" s="113" t="s">
        <v>240</v>
      </c>
      <c r="C177" s="51">
        <f>IF(AND(20&gt;=1,20&lt;=ROUND(('Annahmen'!$E$144)*12,0)),IF(20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134,(IF(20=1,'Annahmen'!$C$144,C305))),IF('Annahmen'!$F$144="Endfällig",IF(20=ROUND(('Annahmen'!$E$144)*12,0),(IF(20=1,'Annahmen'!$C$144,C305)),0),MIN('Annahmen'!$C$144/(MAX(ROUND(('Annahmen'!$E$144)*12,0)-(0)*12,1)),(IF(20=1,'Annahmen'!$C$144,C305)))))),0)</f>
      </c>
      <c r="D177" s="51">
        <f>IF(AND(20&gt;=1,20&lt;=ROUND(('Annahmen'!$E$145)*12,0)),IF(20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134,(IF(20=1,'Annahmen'!$C$145,D305))),IF('Annahmen'!$F$145="Endfällig",IF(20=ROUND(('Annahmen'!$E$145)*12,0),(IF(20=1,'Annahmen'!$C$145,D305)),0),MIN('Annahmen'!$C$145/(MAX(ROUND(('Annahmen'!$E$145)*12,0)-(0)*12,1)),(IF(20=1,'Annahmen'!$C$145,D305)))))),0)</f>
      </c>
      <c r="E177" s="51">
        <f>IF(AND(20&gt;=1,20&lt;=ROUND(('Annahmen'!$E$146)*12,0)),IF(20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134,(IF(20=1,'Annahmen'!$C$146,E305))),IF('Annahmen'!$F$146="Endfällig",IF(20=ROUND(('Annahmen'!$E$146)*12,0),(IF(20=1,'Annahmen'!$C$146,E305)),0),MIN('Annahmen'!$C$146/(MAX(ROUND(('Annahmen'!$E$146)*12,0)-(0)*12,1)),(IF(20=1,'Annahmen'!$C$146,E305)))))),0)</f>
      </c>
      <c r="F177" s="51">
        <f>IF(AND(20&gt;=1,20&lt;=ROUND(('Annahmen'!$E$147)*12,0)),IF(20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134,(IF(20=1,'Annahmen'!$C$147,F305))),IF('Annahmen'!$F$147="Endfällig",IF(20=ROUND(('Annahmen'!$E$147)*12,0),(IF(20=1,'Annahmen'!$C$147,F305)),0),MIN('Annahmen'!$C$147/(MAX(ROUND(('Annahmen'!$E$147)*12,0)-(0)*12,1)),(IF(20=1,'Annahmen'!$C$147,F305)))))),0)</f>
      </c>
      <c r="G177" s="51">
        <f>IF(AND(20&gt;=1,20&lt;=ROUND(('Annahmen'!$E$148)*12,0)),IF(20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134,(IF(20=1,'Annahmen'!$C$148,G305))),IF('Annahmen'!$F$148="Endfällig",IF(20=ROUND(('Annahmen'!$E$148)*12,0),(IF(20=1,'Annahmen'!$C$148,G305)),0),MIN('Annahmen'!$C$148/(MAX(ROUND(('Annahmen'!$E$148)*12,0)-(0)*12,1)),(IF(20=1,'Annahmen'!$C$148,G305)))))),0)</f>
      </c>
      <c r="H177" s="51">
        <f>IF(AND(20&gt;=1,20&lt;=ROUND(('Annahmen'!$E$149)*12,0)),IF(20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134,(IF(20=1,'Annahmen'!$C$149,H305))),IF('Annahmen'!$F$149="Endfällig",IF(20=ROUND(('Annahmen'!$E$149)*12,0),(IF(20=1,'Annahmen'!$C$149,H305)),0),MIN('Annahmen'!$C$149/(MAX(ROUND(('Annahmen'!$E$149)*12,0)-(0)*12,1)),(IF(20=1,'Annahmen'!$C$149,H305)))))),0)</f>
      </c>
      <c r="I177" s="51">
        <f>IF(AND(20&gt;=1,20&lt;=ROUND(('Annahmen'!$E$150)*12,0)),IF(20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134,(IF(20=1,'Annahmen'!$C$150,I305))),IF('Annahmen'!$F$150="Endfällig",IF(20=ROUND(('Annahmen'!$E$150)*12,0),(IF(20=1,'Annahmen'!$C$150,I305)),0),MIN('Annahmen'!$C$150/(MAX(ROUND(('Annahmen'!$E$150)*12,0)-(0)*12,1)),(IF(20=1,'Annahmen'!$C$150,I305)))))),0)</f>
      </c>
      <c r="J177" s="51">
        <v>0</v>
      </c>
      <c r="K177" s="51">
        <v>0</v>
      </c>
      <c r="L177" s="51">
        <v>0</v>
      </c>
      <c r="M177" s="51">
        <v>0</v>
      </c>
      <c r="N177" s="51">
        <v>0</v>
      </c>
      <c r="O177" s="114">
        <f>SUM(C177:N177)</f>
      </c>
    </row>
    <row r="178" ht="15" customHeight="1" hidden="1" spans="2:15" x14ac:dyDescent="0.25" outlineLevel="1" collapsed="1">
      <c r="B178" s="113" t="s">
        <v>241</v>
      </c>
      <c r="C178" s="51">
        <f>IF(AND(21&gt;=1,21&lt;=ROUND(('Annahmen'!$E$144)*12,0)),IF(21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135,(IF(21=1,'Annahmen'!$C$144,C306))),IF('Annahmen'!$F$144="Endfällig",IF(21=ROUND(('Annahmen'!$E$144)*12,0),(IF(21=1,'Annahmen'!$C$144,C306)),0),MIN('Annahmen'!$C$144/(MAX(ROUND(('Annahmen'!$E$144)*12,0)-(0)*12,1)),(IF(21=1,'Annahmen'!$C$144,C306)))))),0)</f>
      </c>
      <c r="D178" s="51">
        <f>IF(AND(21&gt;=1,21&lt;=ROUND(('Annahmen'!$E$145)*12,0)),IF(21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135,(IF(21=1,'Annahmen'!$C$145,D306))),IF('Annahmen'!$F$145="Endfällig",IF(21=ROUND(('Annahmen'!$E$145)*12,0),(IF(21=1,'Annahmen'!$C$145,D306)),0),MIN('Annahmen'!$C$145/(MAX(ROUND(('Annahmen'!$E$145)*12,0)-(0)*12,1)),(IF(21=1,'Annahmen'!$C$145,D306)))))),0)</f>
      </c>
      <c r="E178" s="51">
        <f>IF(AND(21&gt;=1,21&lt;=ROUND(('Annahmen'!$E$146)*12,0)),IF(21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135,(IF(21=1,'Annahmen'!$C$146,E306))),IF('Annahmen'!$F$146="Endfällig",IF(21=ROUND(('Annahmen'!$E$146)*12,0),(IF(21=1,'Annahmen'!$C$146,E306)),0),MIN('Annahmen'!$C$146/(MAX(ROUND(('Annahmen'!$E$146)*12,0)-(0)*12,1)),(IF(21=1,'Annahmen'!$C$146,E306)))))),0)</f>
      </c>
      <c r="F178" s="51">
        <f>IF(AND(21&gt;=1,21&lt;=ROUND(('Annahmen'!$E$147)*12,0)),IF(21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135,(IF(21=1,'Annahmen'!$C$147,F306))),IF('Annahmen'!$F$147="Endfällig",IF(21=ROUND(('Annahmen'!$E$147)*12,0),(IF(21=1,'Annahmen'!$C$147,F306)),0),MIN('Annahmen'!$C$147/(MAX(ROUND(('Annahmen'!$E$147)*12,0)-(0)*12,1)),(IF(21=1,'Annahmen'!$C$147,F306)))))),0)</f>
      </c>
      <c r="G178" s="51">
        <f>IF(AND(21&gt;=1,21&lt;=ROUND(('Annahmen'!$E$148)*12,0)),IF(21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135,(IF(21=1,'Annahmen'!$C$148,G306))),IF('Annahmen'!$F$148="Endfällig",IF(21=ROUND(('Annahmen'!$E$148)*12,0),(IF(21=1,'Annahmen'!$C$148,G306)),0),MIN('Annahmen'!$C$148/(MAX(ROUND(('Annahmen'!$E$148)*12,0)-(0)*12,1)),(IF(21=1,'Annahmen'!$C$148,G306)))))),0)</f>
      </c>
      <c r="H178" s="51">
        <f>IF(AND(21&gt;=1,21&lt;=ROUND(('Annahmen'!$E$149)*12,0)),IF(21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135,(IF(21=1,'Annahmen'!$C$149,H306))),IF('Annahmen'!$F$149="Endfällig",IF(21=ROUND(('Annahmen'!$E$149)*12,0),(IF(21=1,'Annahmen'!$C$149,H306)),0),MIN('Annahmen'!$C$149/(MAX(ROUND(('Annahmen'!$E$149)*12,0)-(0)*12,1)),(IF(21=1,'Annahmen'!$C$149,H306)))))),0)</f>
      </c>
      <c r="I178" s="51">
        <f>IF(AND(21&gt;=1,21&lt;=ROUND(('Annahmen'!$E$150)*12,0)),IF(21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135,(IF(21=1,'Annahmen'!$C$150,I306))),IF('Annahmen'!$F$150="Endfällig",IF(21=ROUND(('Annahmen'!$E$150)*12,0),(IF(21=1,'Annahmen'!$C$150,I306)),0),MIN('Annahmen'!$C$150/(MAX(ROUND(('Annahmen'!$E$150)*12,0)-(0)*12,1)),(IF(21=1,'Annahmen'!$C$150,I306)))))),0)</f>
      </c>
      <c r="J178" s="51">
        <v>0</v>
      </c>
      <c r="K178" s="51">
        <v>0</v>
      </c>
      <c r="L178" s="51">
        <v>0</v>
      </c>
      <c r="M178" s="51">
        <v>0</v>
      </c>
      <c r="N178" s="51">
        <v>0</v>
      </c>
      <c r="O178" s="114">
        <f>SUM(C178:N178)</f>
      </c>
    </row>
    <row r="179" ht="15" customHeight="1" hidden="1" spans="2:15" x14ac:dyDescent="0.25" outlineLevel="1" collapsed="1">
      <c r="B179" s="113" t="s">
        <v>242</v>
      </c>
      <c r="C179" s="51">
        <f>IF(AND(22&gt;=1,22&lt;=ROUND(('Annahmen'!$E$144)*12,0)),IF(22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136,(IF(22=1,'Annahmen'!$C$144,C307))),IF('Annahmen'!$F$144="Endfällig",IF(22=ROUND(('Annahmen'!$E$144)*12,0),(IF(22=1,'Annahmen'!$C$144,C307)),0),MIN('Annahmen'!$C$144/(MAX(ROUND(('Annahmen'!$E$144)*12,0)-(0)*12,1)),(IF(22=1,'Annahmen'!$C$144,C307)))))),0)</f>
      </c>
      <c r="D179" s="51">
        <f>IF(AND(22&gt;=1,22&lt;=ROUND(('Annahmen'!$E$145)*12,0)),IF(22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136,(IF(22=1,'Annahmen'!$C$145,D307))),IF('Annahmen'!$F$145="Endfällig",IF(22=ROUND(('Annahmen'!$E$145)*12,0),(IF(22=1,'Annahmen'!$C$145,D307)),0),MIN('Annahmen'!$C$145/(MAX(ROUND(('Annahmen'!$E$145)*12,0)-(0)*12,1)),(IF(22=1,'Annahmen'!$C$145,D307)))))),0)</f>
      </c>
      <c r="E179" s="51">
        <f>IF(AND(22&gt;=1,22&lt;=ROUND(('Annahmen'!$E$146)*12,0)),IF(22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136,(IF(22=1,'Annahmen'!$C$146,E307))),IF('Annahmen'!$F$146="Endfällig",IF(22=ROUND(('Annahmen'!$E$146)*12,0),(IF(22=1,'Annahmen'!$C$146,E307)),0),MIN('Annahmen'!$C$146/(MAX(ROUND(('Annahmen'!$E$146)*12,0)-(0)*12,1)),(IF(22=1,'Annahmen'!$C$146,E307)))))),0)</f>
      </c>
      <c r="F179" s="51">
        <f>IF(AND(22&gt;=1,22&lt;=ROUND(('Annahmen'!$E$147)*12,0)),IF(22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136,(IF(22=1,'Annahmen'!$C$147,F307))),IF('Annahmen'!$F$147="Endfällig",IF(22=ROUND(('Annahmen'!$E$147)*12,0),(IF(22=1,'Annahmen'!$C$147,F307)),0),MIN('Annahmen'!$C$147/(MAX(ROUND(('Annahmen'!$E$147)*12,0)-(0)*12,1)),(IF(22=1,'Annahmen'!$C$147,F307)))))),0)</f>
      </c>
      <c r="G179" s="51">
        <f>IF(AND(22&gt;=1,22&lt;=ROUND(('Annahmen'!$E$148)*12,0)),IF(22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136,(IF(22=1,'Annahmen'!$C$148,G307))),IF('Annahmen'!$F$148="Endfällig",IF(22=ROUND(('Annahmen'!$E$148)*12,0),(IF(22=1,'Annahmen'!$C$148,G307)),0),MIN('Annahmen'!$C$148/(MAX(ROUND(('Annahmen'!$E$148)*12,0)-(0)*12,1)),(IF(22=1,'Annahmen'!$C$148,G307)))))),0)</f>
      </c>
      <c r="H179" s="51">
        <f>IF(AND(22&gt;=1,22&lt;=ROUND(('Annahmen'!$E$149)*12,0)),IF(22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136,(IF(22=1,'Annahmen'!$C$149,H307))),IF('Annahmen'!$F$149="Endfällig",IF(22=ROUND(('Annahmen'!$E$149)*12,0),(IF(22=1,'Annahmen'!$C$149,H307)),0),MIN('Annahmen'!$C$149/(MAX(ROUND(('Annahmen'!$E$149)*12,0)-(0)*12,1)),(IF(22=1,'Annahmen'!$C$149,H307)))))),0)</f>
      </c>
      <c r="I179" s="51">
        <f>IF(AND(22&gt;=1,22&lt;=ROUND(('Annahmen'!$E$150)*12,0)),IF(22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136,(IF(22=1,'Annahmen'!$C$150,I307))),IF('Annahmen'!$F$150="Endfällig",IF(22=ROUND(('Annahmen'!$E$150)*12,0),(IF(22=1,'Annahmen'!$C$150,I307)),0),MIN('Annahmen'!$C$150/(MAX(ROUND(('Annahmen'!$E$150)*12,0)-(0)*12,1)),(IF(22=1,'Annahmen'!$C$150,I307)))))),0)</f>
      </c>
      <c r="J179" s="51">
        <v>0</v>
      </c>
      <c r="K179" s="51">
        <v>0</v>
      </c>
      <c r="L179" s="51">
        <v>0</v>
      </c>
      <c r="M179" s="51">
        <v>0</v>
      </c>
      <c r="N179" s="51">
        <v>0</v>
      </c>
      <c r="O179" s="114">
        <f>SUM(C179:N179)</f>
      </c>
    </row>
    <row r="180" ht="15" customHeight="1" hidden="1" spans="2:15" x14ac:dyDescent="0.25" outlineLevel="1" collapsed="1">
      <c r="B180" s="113" t="s">
        <v>243</v>
      </c>
      <c r="C180" s="51">
        <f>IF(AND(23&gt;=1,23&lt;=ROUND(('Annahmen'!$E$144)*12,0)),IF(23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137,(IF(23=1,'Annahmen'!$C$144,C308))),IF('Annahmen'!$F$144="Endfällig",IF(23=ROUND(('Annahmen'!$E$144)*12,0),(IF(23=1,'Annahmen'!$C$144,C308)),0),MIN('Annahmen'!$C$144/(MAX(ROUND(('Annahmen'!$E$144)*12,0)-(0)*12,1)),(IF(23=1,'Annahmen'!$C$144,C308)))))),0)</f>
      </c>
      <c r="D180" s="51">
        <f>IF(AND(23&gt;=1,23&lt;=ROUND(('Annahmen'!$E$145)*12,0)),IF(23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137,(IF(23=1,'Annahmen'!$C$145,D308))),IF('Annahmen'!$F$145="Endfällig",IF(23=ROUND(('Annahmen'!$E$145)*12,0),(IF(23=1,'Annahmen'!$C$145,D308)),0),MIN('Annahmen'!$C$145/(MAX(ROUND(('Annahmen'!$E$145)*12,0)-(0)*12,1)),(IF(23=1,'Annahmen'!$C$145,D308)))))),0)</f>
      </c>
      <c r="E180" s="51">
        <f>IF(AND(23&gt;=1,23&lt;=ROUND(('Annahmen'!$E$146)*12,0)),IF(23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137,(IF(23=1,'Annahmen'!$C$146,E308))),IF('Annahmen'!$F$146="Endfällig",IF(23=ROUND(('Annahmen'!$E$146)*12,0),(IF(23=1,'Annahmen'!$C$146,E308)),0),MIN('Annahmen'!$C$146/(MAX(ROUND(('Annahmen'!$E$146)*12,0)-(0)*12,1)),(IF(23=1,'Annahmen'!$C$146,E308)))))),0)</f>
      </c>
      <c r="F180" s="51">
        <f>IF(AND(23&gt;=1,23&lt;=ROUND(('Annahmen'!$E$147)*12,0)),IF(23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137,(IF(23=1,'Annahmen'!$C$147,F308))),IF('Annahmen'!$F$147="Endfällig",IF(23=ROUND(('Annahmen'!$E$147)*12,0),(IF(23=1,'Annahmen'!$C$147,F308)),0),MIN('Annahmen'!$C$147/(MAX(ROUND(('Annahmen'!$E$147)*12,0)-(0)*12,1)),(IF(23=1,'Annahmen'!$C$147,F308)))))),0)</f>
      </c>
      <c r="G180" s="51">
        <f>IF(AND(23&gt;=1,23&lt;=ROUND(('Annahmen'!$E$148)*12,0)),IF(23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137,(IF(23=1,'Annahmen'!$C$148,G308))),IF('Annahmen'!$F$148="Endfällig",IF(23=ROUND(('Annahmen'!$E$148)*12,0),(IF(23=1,'Annahmen'!$C$148,G308)),0),MIN('Annahmen'!$C$148/(MAX(ROUND(('Annahmen'!$E$148)*12,0)-(0)*12,1)),(IF(23=1,'Annahmen'!$C$148,G308)))))),0)</f>
      </c>
      <c r="H180" s="51">
        <f>IF(AND(23&gt;=1,23&lt;=ROUND(('Annahmen'!$E$149)*12,0)),IF(23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137,(IF(23=1,'Annahmen'!$C$149,H308))),IF('Annahmen'!$F$149="Endfällig",IF(23=ROUND(('Annahmen'!$E$149)*12,0),(IF(23=1,'Annahmen'!$C$149,H308)),0),MIN('Annahmen'!$C$149/(MAX(ROUND(('Annahmen'!$E$149)*12,0)-(0)*12,1)),(IF(23=1,'Annahmen'!$C$149,H308)))))),0)</f>
      </c>
      <c r="I180" s="51">
        <f>IF(AND(23&gt;=1,23&lt;=ROUND(('Annahmen'!$E$150)*12,0)),IF(23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137,(IF(23=1,'Annahmen'!$C$150,I308))),IF('Annahmen'!$F$150="Endfällig",IF(23=ROUND(('Annahmen'!$E$150)*12,0),(IF(23=1,'Annahmen'!$C$150,I308)),0),MIN('Annahmen'!$C$150/(MAX(ROUND(('Annahmen'!$E$150)*12,0)-(0)*12,1)),(IF(23=1,'Annahmen'!$C$150,I308)))))),0)</f>
      </c>
      <c r="J180" s="51">
        <v>0</v>
      </c>
      <c r="K180" s="51">
        <v>0</v>
      </c>
      <c r="L180" s="51">
        <v>0</v>
      </c>
      <c r="M180" s="51">
        <v>0</v>
      </c>
      <c r="N180" s="51">
        <v>0</v>
      </c>
      <c r="O180" s="114">
        <f>SUM(C180:N180)</f>
      </c>
    </row>
    <row r="181" ht="15" customHeight="1" hidden="1" spans="2:15" x14ac:dyDescent="0.25" outlineLevel="1" collapsed="1">
      <c r="B181" s="113" t="s">
        <v>244</v>
      </c>
      <c r="C181" s="51">
        <f>IF(AND(24&gt;=1,24&lt;=ROUND(('Annahmen'!$E$144)*12,0)),IF(24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138,(IF(24=1,'Annahmen'!$C$144,C309))),IF('Annahmen'!$F$144="Endfällig",IF(24=ROUND(('Annahmen'!$E$144)*12,0),(IF(24=1,'Annahmen'!$C$144,C309)),0),MIN('Annahmen'!$C$144/(MAX(ROUND(('Annahmen'!$E$144)*12,0)-(0)*12,1)),(IF(24=1,'Annahmen'!$C$144,C309)))))),0)</f>
      </c>
      <c r="D181" s="51">
        <f>IF(AND(24&gt;=1,24&lt;=ROUND(('Annahmen'!$E$145)*12,0)),IF(24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138,(IF(24=1,'Annahmen'!$C$145,D309))),IF('Annahmen'!$F$145="Endfällig",IF(24=ROUND(('Annahmen'!$E$145)*12,0),(IF(24=1,'Annahmen'!$C$145,D309)),0),MIN('Annahmen'!$C$145/(MAX(ROUND(('Annahmen'!$E$145)*12,0)-(0)*12,1)),(IF(24=1,'Annahmen'!$C$145,D309)))))),0)</f>
      </c>
      <c r="E181" s="51">
        <f>IF(AND(24&gt;=1,24&lt;=ROUND(('Annahmen'!$E$146)*12,0)),IF(24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138,(IF(24=1,'Annahmen'!$C$146,E309))),IF('Annahmen'!$F$146="Endfällig",IF(24=ROUND(('Annahmen'!$E$146)*12,0),(IF(24=1,'Annahmen'!$C$146,E309)),0),MIN('Annahmen'!$C$146/(MAX(ROUND(('Annahmen'!$E$146)*12,0)-(0)*12,1)),(IF(24=1,'Annahmen'!$C$146,E309)))))),0)</f>
      </c>
      <c r="F181" s="51">
        <f>IF(AND(24&gt;=1,24&lt;=ROUND(('Annahmen'!$E$147)*12,0)),IF(24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138,(IF(24=1,'Annahmen'!$C$147,F309))),IF('Annahmen'!$F$147="Endfällig",IF(24=ROUND(('Annahmen'!$E$147)*12,0),(IF(24=1,'Annahmen'!$C$147,F309)),0),MIN('Annahmen'!$C$147/(MAX(ROUND(('Annahmen'!$E$147)*12,0)-(0)*12,1)),(IF(24=1,'Annahmen'!$C$147,F309)))))),0)</f>
      </c>
      <c r="G181" s="51">
        <f>IF(AND(24&gt;=1,24&lt;=ROUND(('Annahmen'!$E$148)*12,0)),IF(24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138,(IF(24=1,'Annahmen'!$C$148,G309))),IF('Annahmen'!$F$148="Endfällig",IF(24=ROUND(('Annahmen'!$E$148)*12,0),(IF(24=1,'Annahmen'!$C$148,G309)),0),MIN('Annahmen'!$C$148/(MAX(ROUND(('Annahmen'!$E$148)*12,0)-(0)*12,1)),(IF(24=1,'Annahmen'!$C$148,G309)))))),0)</f>
      </c>
      <c r="H181" s="51">
        <f>IF(AND(24&gt;=1,24&lt;=ROUND(('Annahmen'!$E$149)*12,0)),IF(24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138,(IF(24=1,'Annahmen'!$C$149,H309))),IF('Annahmen'!$F$149="Endfällig",IF(24=ROUND(('Annahmen'!$E$149)*12,0),(IF(24=1,'Annahmen'!$C$149,H309)),0),MIN('Annahmen'!$C$149/(MAX(ROUND(('Annahmen'!$E$149)*12,0)-(0)*12,1)),(IF(24=1,'Annahmen'!$C$149,H309)))))),0)</f>
      </c>
      <c r="I181" s="51">
        <f>IF(AND(24&gt;=1,24&lt;=ROUND(('Annahmen'!$E$150)*12,0)),IF(24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138,(IF(24=1,'Annahmen'!$C$150,I309))),IF('Annahmen'!$F$150="Endfällig",IF(24=ROUND(('Annahmen'!$E$150)*12,0),(IF(24=1,'Annahmen'!$C$150,I309)),0),MIN('Annahmen'!$C$150/(MAX(ROUND(('Annahmen'!$E$150)*12,0)-(0)*12,1)),(IF(24=1,'Annahmen'!$C$150,I309)))))),0)</f>
      </c>
      <c r="J181" s="51">
        <v>0</v>
      </c>
      <c r="K181" s="51">
        <v>0</v>
      </c>
      <c r="L181" s="51">
        <v>0</v>
      </c>
      <c r="M181" s="51">
        <v>0</v>
      </c>
      <c r="N181" s="51">
        <v>0</v>
      </c>
      <c r="O181" s="114">
        <f>SUM(C181:N181)</f>
      </c>
    </row>
    <row r="182" ht="15" customHeight="1" hidden="1" spans="2:15" x14ac:dyDescent="0.25" outlineLevel="1" collapsed="1">
      <c r="B182" s="115" t="s">
        <v>245</v>
      </c>
      <c r="C182" s="23">
        <f>SUM(C170:C181)</f>
      </c>
      <c r="D182" s="23">
        <f>SUM(D170:D181)</f>
      </c>
      <c r="E182" s="23">
        <f>SUM(E170:E181)</f>
      </c>
      <c r="F182" s="23">
        <f>SUM(F170:F181)</f>
      </c>
      <c r="G182" s="23">
        <f>SUM(G170:G181)</f>
      </c>
      <c r="H182" s="23">
        <f>SUM(H170:H181)</f>
      </c>
      <c r="I182" s="23">
        <f>SUM(I170:I181)</f>
      </c>
      <c r="J182" s="23">
        <f>SUM(J170:J181)</f>
      </c>
      <c r="K182" s="23">
        <f>SUM(K170:K181)</f>
      </c>
      <c r="L182" s="23">
        <f>SUM(L170:L181)</f>
      </c>
      <c r="M182" s="23">
        <f>SUM(M170:M181)</f>
      </c>
      <c r="N182" s="23">
        <f>SUM(N170:N181)</f>
      </c>
      <c r="O182" s="116">
        <f>SUM(O170:O181)</f>
      </c>
    </row>
    <row r="183" ht="15" customHeight="1" hidden="1" spans="2:15" x14ac:dyDescent="0.25" outlineLevel="1" collapsed="1">
      <c r="B183" s="113" t="s">
        <v>246</v>
      </c>
      <c r="C183" s="51">
        <f>IF(AND(25&gt;=1,25&lt;=ROUND(('Annahmen'!$E$144)*12,0)),IF(25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140,(IF(25=1,'Annahmen'!$C$144,C310))),IF('Annahmen'!$F$144="Endfällig",IF(25=ROUND(('Annahmen'!$E$144)*12,0),(IF(25=1,'Annahmen'!$C$144,C310)),0),MIN('Annahmen'!$C$144/(MAX(ROUND(('Annahmen'!$E$144)*12,0)-(0)*12,1)),(IF(25=1,'Annahmen'!$C$144,C310)))))),0)</f>
      </c>
      <c r="D183" s="51">
        <f>IF(AND(25&gt;=1,25&lt;=ROUND(('Annahmen'!$E$145)*12,0)),IF(25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140,(IF(25=1,'Annahmen'!$C$145,D310))),IF('Annahmen'!$F$145="Endfällig",IF(25=ROUND(('Annahmen'!$E$145)*12,0),(IF(25=1,'Annahmen'!$C$145,D310)),0),MIN('Annahmen'!$C$145/(MAX(ROUND(('Annahmen'!$E$145)*12,0)-(0)*12,1)),(IF(25=1,'Annahmen'!$C$145,D310)))))),0)</f>
      </c>
      <c r="E183" s="51">
        <f>IF(AND(25&gt;=1,25&lt;=ROUND(('Annahmen'!$E$146)*12,0)),IF(25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140,(IF(25=1,'Annahmen'!$C$146,E310))),IF('Annahmen'!$F$146="Endfällig",IF(25=ROUND(('Annahmen'!$E$146)*12,0),(IF(25=1,'Annahmen'!$C$146,E310)),0),MIN('Annahmen'!$C$146/(MAX(ROUND(('Annahmen'!$E$146)*12,0)-(0)*12,1)),(IF(25=1,'Annahmen'!$C$146,E310)))))),0)</f>
      </c>
      <c r="F183" s="51">
        <f>IF(AND(25&gt;=1,25&lt;=ROUND(('Annahmen'!$E$147)*12,0)),IF(25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140,(IF(25=1,'Annahmen'!$C$147,F310))),IF('Annahmen'!$F$147="Endfällig",IF(25=ROUND(('Annahmen'!$E$147)*12,0),(IF(25=1,'Annahmen'!$C$147,F310)),0),MIN('Annahmen'!$C$147/(MAX(ROUND(('Annahmen'!$E$147)*12,0)-(0)*12,1)),(IF(25=1,'Annahmen'!$C$147,F310)))))),0)</f>
      </c>
      <c r="G183" s="51">
        <f>IF(AND(25&gt;=1,25&lt;=ROUND(('Annahmen'!$E$148)*12,0)),IF(25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140,(IF(25=1,'Annahmen'!$C$148,G310))),IF('Annahmen'!$F$148="Endfällig",IF(25=ROUND(('Annahmen'!$E$148)*12,0),(IF(25=1,'Annahmen'!$C$148,G310)),0),MIN('Annahmen'!$C$148/(MAX(ROUND(('Annahmen'!$E$148)*12,0)-(0)*12,1)),(IF(25=1,'Annahmen'!$C$148,G310)))))),0)</f>
      </c>
      <c r="H183" s="51">
        <f>IF(AND(25&gt;=1,25&lt;=ROUND(('Annahmen'!$E$149)*12,0)),IF(25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140,(IF(25=1,'Annahmen'!$C$149,H310))),IF('Annahmen'!$F$149="Endfällig",IF(25=ROUND(('Annahmen'!$E$149)*12,0),(IF(25=1,'Annahmen'!$C$149,H310)),0),MIN('Annahmen'!$C$149/(MAX(ROUND(('Annahmen'!$E$149)*12,0)-(0)*12,1)),(IF(25=1,'Annahmen'!$C$149,H310)))))),0)</f>
      </c>
      <c r="I183" s="51">
        <f>IF(AND(25&gt;=1,25&lt;=ROUND(('Annahmen'!$E$150)*12,0)),IF(25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140,(IF(25=1,'Annahmen'!$C$150,I310))),IF('Annahmen'!$F$150="Endfällig",IF(25=ROUND(('Annahmen'!$E$150)*12,0),(IF(25=1,'Annahmen'!$C$150,I310)),0),MIN('Annahmen'!$C$150/(MAX(ROUND(('Annahmen'!$E$150)*12,0)-(0)*12,1)),(IF(25=1,'Annahmen'!$C$150,I310)))))),0)</f>
      </c>
      <c r="J183" s="51">
        <v>0</v>
      </c>
      <c r="K183" s="51">
        <v>0</v>
      </c>
      <c r="L183" s="51">
        <v>0</v>
      </c>
      <c r="M183" s="51">
        <v>0</v>
      </c>
      <c r="N183" s="51">
        <v>0</v>
      </c>
      <c r="O183" s="114">
        <f>SUM(C183:N183)</f>
      </c>
    </row>
    <row r="184" ht="15" customHeight="1" hidden="1" spans="2:15" x14ac:dyDescent="0.25" outlineLevel="1" collapsed="1">
      <c r="B184" s="113" t="s">
        <v>247</v>
      </c>
      <c r="C184" s="51">
        <f>IF(AND(26&gt;=1,26&lt;=ROUND(('Annahmen'!$E$144)*12,0)),IF(26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141,(IF(26=1,'Annahmen'!$C$144,C312))),IF('Annahmen'!$F$144="Endfällig",IF(26=ROUND(('Annahmen'!$E$144)*12,0),(IF(26=1,'Annahmen'!$C$144,C312)),0),MIN('Annahmen'!$C$144/(MAX(ROUND(('Annahmen'!$E$144)*12,0)-(0)*12,1)),(IF(26=1,'Annahmen'!$C$144,C312)))))),0)</f>
      </c>
      <c r="D184" s="51">
        <f>IF(AND(26&gt;=1,26&lt;=ROUND(('Annahmen'!$E$145)*12,0)),IF(26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141,(IF(26=1,'Annahmen'!$C$145,D312))),IF('Annahmen'!$F$145="Endfällig",IF(26=ROUND(('Annahmen'!$E$145)*12,0),(IF(26=1,'Annahmen'!$C$145,D312)),0),MIN('Annahmen'!$C$145/(MAX(ROUND(('Annahmen'!$E$145)*12,0)-(0)*12,1)),(IF(26=1,'Annahmen'!$C$145,D312)))))),0)</f>
      </c>
      <c r="E184" s="51">
        <f>IF(AND(26&gt;=1,26&lt;=ROUND(('Annahmen'!$E$146)*12,0)),IF(26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141,(IF(26=1,'Annahmen'!$C$146,E312))),IF('Annahmen'!$F$146="Endfällig",IF(26=ROUND(('Annahmen'!$E$146)*12,0),(IF(26=1,'Annahmen'!$C$146,E312)),0),MIN('Annahmen'!$C$146/(MAX(ROUND(('Annahmen'!$E$146)*12,0)-(0)*12,1)),(IF(26=1,'Annahmen'!$C$146,E312)))))),0)</f>
      </c>
      <c r="F184" s="51">
        <f>IF(AND(26&gt;=1,26&lt;=ROUND(('Annahmen'!$E$147)*12,0)),IF(26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141,(IF(26=1,'Annahmen'!$C$147,F312))),IF('Annahmen'!$F$147="Endfällig",IF(26=ROUND(('Annahmen'!$E$147)*12,0),(IF(26=1,'Annahmen'!$C$147,F312)),0),MIN('Annahmen'!$C$147/(MAX(ROUND(('Annahmen'!$E$147)*12,0)-(0)*12,1)),(IF(26=1,'Annahmen'!$C$147,F312)))))),0)</f>
      </c>
      <c r="G184" s="51">
        <f>IF(AND(26&gt;=1,26&lt;=ROUND(('Annahmen'!$E$148)*12,0)),IF(26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141,(IF(26=1,'Annahmen'!$C$148,G312))),IF('Annahmen'!$F$148="Endfällig",IF(26=ROUND(('Annahmen'!$E$148)*12,0),(IF(26=1,'Annahmen'!$C$148,G312)),0),MIN('Annahmen'!$C$148/(MAX(ROUND(('Annahmen'!$E$148)*12,0)-(0)*12,1)),(IF(26=1,'Annahmen'!$C$148,G312)))))),0)</f>
      </c>
      <c r="H184" s="51">
        <f>IF(AND(26&gt;=1,26&lt;=ROUND(('Annahmen'!$E$149)*12,0)),IF(26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141,(IF(26=1,'Annahmen'!$C$149,H312))),IF('Annahmen'!$F$149="Endfällig",IF(26=ROUND(('Annahmen'!$E$149)*12,0),(IF(26=1,'Annahmen'!$C$149,H312)),0),MIN('Annahmen'!$C$149/(MAX(ROUND(('Annahmen'!$E$149)*12,0)-(0)*12,1)),(IF(26=1,'Annahmen'!$C$149,H312)))))),0)</f>
      </c>
      <c r="I184" s="51">
        <f>IF(AND(26&gt;=1,26&lt;=ROUND(('Annahmen'!$E$150)*12,0)),IF(26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141,(IF(26=1,'Annahmen'!$C$150,I312))),IF('Annahmen'!$F$150="Endfällig",IF(26=ROUND(('Annahmen'!$E$150)*12,0),(IF(26=1,'Annahmen'!$C$150,I312)),0),MIN('Annahmen'!$C$150/(MAX(ROUND(('Annahmen'!$E$150)*12,0)-(0)*12,1)),(IF(26=1,'Annahmen'!$C$150,I312)))))),0)</f>
      </c>
      <c r="J184" s="51">
        <v>0</v>
      </c>
      <c r="K184" s="51">
        <v>0</v>
      </c>
      <c r="L184" s="51">
        <v>0</v>
      </c>
      <c r="M184" s="51">
        <v>0</v>
      </c>
      <c r="N184" s="51">
        <v>0</v>
      </c>
      <c r="O184" s="114">
        <f>SUM(C184:N184)</f>
      </c>
    </row>
    <row r="185" ht="15" customHeight="1" hidden="1" spans="2:15" x14ac:dyDescent="0.25" outlineLevel="1" collapsed="1">
      <c r="B185" s="113" t="s">
        <v>248</v>
      </c>
      <c r="C185" s="51">
        <f>IF(AND(27&gt;=1,27&lt;=ROUND(('Annahmen'!$E$144)*12,0)),IF(27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142,(IF(27=1,'Annahmen'!$C$144,C313))),IF('Annahmen'!$F$144="Endfällig",IF(27=ROUND(('Annahmen'!$E$144)*12,0),(IF(27=1,'Annahmen'!$C$144,C313)),0),MIN('Annahmen'!$C$144/(MAX(ROUND(('Annahmen'!$E$144)*12,0)-(0)*12,1)),(IF(27=1,'Annahmen'!$C$144,C313)))))),0)</f>
      </c>
      <c r="D185" s="51">
        <f>IF(AND(27&gt;=1,27&lt;=ROUND(('Annahmen'!$E$145)*12,0)),IF(27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142,(IF(27=1,'Annahmen'!$C$145,D313))),IF('Annahmen'!$F$145="Endfällig",IF(27=ROUND(('Annahmen'!$E$145)*12,0),(IF(27=1,'Annahmen'!$C$145,D313)),0),MIN('Annahmen'!$C$145/(MAX(ROUND(('Annahmen'!$E$145)*12,0)-(0)*12,1)),(IF(27=1,'Annahmen'!$C$145,D313)))))),0)</f>
      </c>
      <c r="E185" s="51">
        <f>IF(AND(27&gt;=1,27&lt;=ROUND(('Annahmen'!$E$146)*12,0)),IF(27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142,(IF(27=1,'Annahmen'!$C$146,E313))),IF('Annahmen'!$F$146="Endfällig",IF(27=ROUND(('Annahmen'!$E$146)*12,0),(IF(27=1,'Annahmen'!$C$146,E313)),0),MIN('Annahmen'!$C$146/(MAX(ROUND(('Annahmen'!$E$146)*12,0)-(0)*12,1)),(IF(27=1,'Annahmen'!$C$146,E313)))))),0)</f>
      </c>
      <c r="F185" s="51">
        <f>IF(AND(27&gt;=1,27&lt;=ROUND(('Annahmen'!$E$147)*12,0)),IF(27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142,(IF(27=1,'Annahmen'!$C$147,F313))),IF('Annahmen'!$F$147="Endfällig",IF(27=ROUND(('Annahmen'!$E$147)*12,0),(IF(27=1,'Annahmen'!$C$147,F313)),0),MIN('Annahmen'!$C$147/(MAX(ROUND(('Annahmen'!$E$147)*12,0)-(0)*12,1)),(IF(27=1,'Annahmen'!$C$147,F313)))))),0)</f>
      </c>
      <c r="G185" s="51">
        <f>IF(AND(27&gt;=1,27&lt;=ROUND(('Annahmen'!$E$148)*12,0)),IF(27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142,(IF(27=1,'Annahmen'!$C$148,G313))),IF('Annahmen'!$F$148="Endfällig",IF(27=ROUND(('Annahmen'!$E$148)*12,0),(IF(27=1,'Annahmen'!$C$148,G313)),0),MIN('Annahmen'!$C$148/(MAX(ROUND(('Annahmen'!$E$148)*12,0)-(0)*12,1)),(IF(27=1,'Annahmen'!$C$148,G313)))))),0)</f>
      </c>
      <c r="H185" s="51">
        <f>IF(AND(27&gt;=1,27&lt;=ROUND(('Annahmen'!$E$149)*12,0)),IF(27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142,(IF(27=1,'Annahmen'!$C$149,H313))),IF('Annahmen'!$F$149="Endfällig",IF(27=ROUND(('Annahmen'!$E$149)*12,0),(IF(27=1,'Annahmen'!$C$149,H313)),0),MIN('Annahmen'!$C$149/(MAX(ROUND(('Annahmen'!$E$149)*12,0)-(0)*12,1)),(IF(27=1,'Annahmen'!$C$149,H313)))))),0)</f>
      </c>
      <c r="I185" s="51">
        <f>IF(AND(27&gt;=1,27&lt;=ROUND(('Annahmen'!$E$150)*12,0)),IF(27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142,(IF(27=1,'Annahmen'!$C$150,I313))),IF('Annahmen'!$F$150="Endfällig",IF(27=ROUND(('Annahmen'!$E$150)*12,0),(IF(27=1,'Annahmen'!$C$150,I313)),0),MIN('Annahmen'!$C$150/(MAX(ROUND(('Annahmen'!$E$150)*12,0)-(0)*12,1)),(IF(27=1,'Annahmen'!$C$150,I313)))))),0)</f>
      </c>
      <c r="J185" s="51">
        <v>0</v>
      </c>
      <c r="K185" s="51">
        <v>0</v>
      </c>
      <c r="L185" s="51">
        <v>0</v>
      </c>
      <c r="M185" s="51">
        <v>0</v>
      </c>
      <c r="N185" s="51">
        <v>0</v>
      </c>
      <c r="O185" s="114">
        <f>SUM(C185:N185)</f>
      </c>
    </row>
    <row r="186" ht="15" customHeight="1" hidden="1" spans="2:15" x14ac:dyDescent="0.25" outlineLevel="1" collapsed="1">
      <c r="B186" s="113" t="s">
        <v>249</v>
      </c>
      <c r="C186" s="51">
        <f>IF(AND(28&gt;=1,28&lt;=ROUND(('Annahmen'!$E$144)*12,0)),IF(28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143,(IF(28=1,'Annahmen'!$C$144,C314))),IF('Annahmen'!$F$144="Endfällig",IF(28=ROUND(('Annahmen'!$E$144)*12,0),(IF(28=1,'Annahmen'!$C$144,C314)),0),MIN('Annahmen'!$C$144/(MAX(ROUND(('Annahmen'!$E$144)*12,0)-(0)*12,1)),(IF(28=1,'Annahmen'!$C$144,C314)))))),0)</f>
      </c>
      <c r="D186" s="51">
        <f>IF(AND(28&gt;=1,28&lt;=ROUND(('Annahmen'!$E$145)*12,0)),IF(28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143,(IF(28=1,'Annahmen'!$C$145,D314))),IF('Annahmen'!$F$145="Endfällig",IF(28=ROUND(('Annahmen'!$E$145)*12,0),(IF(28=1,'Annahmen'!$C$145,D314)),0),MIN('Annahmen'!$C$145/(MAX(ROUND(('Annahmen'!$E$145)*12,0)-(0)*12,1)),(IF(28=1,'Annahmen'!$C$145,D314)))))),0)</f>
      </c>
      <c r="E186" s="51">
        <f>IF(AND(28&gt;=1,28&lt;=ROUND(('Annahmen'!$E$146)*12,0)),IF(28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143,(IF(28=1,'Annahmen'!$C$146,E314))),IF('Annahmen'!$F$146="Endfällig",IF(28=ROUND(('Annahmen'!$E$146)*12,0),(IF(28=1,'Annahmen'!$C$146,E314)),0),MIN('Annahmen'!$C$146/(MAX(ROUND(('Annahmen'!$E$146)*12,0)-(0)*12,1)),(IF(28=1,'Annahmen'!$C$146,E314)))))),0)</f>
      </c>
      <c r="F186" s="51">
        <f>IF(AND(28&gt;=1,28&lt;=ROUND(('Annahmen'!$E$147)*12,0)),IF(28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143,(IF(28=1,'Annahmen'!$C$147,F314))),IF('Annahmen'!$F$147="Endfällig",IF(28=ROUND(('Annahmen'!$E$147)*12,0),(IF(28=1,'Annahmen'!$C$147,F314)),0),MIN('Annahmen'!$C$147/(MAX(ROUND(('Annahmen'!$E$147)*12,0)-(0)*12,1)),(IF(28=1,'Annahmen'!$C$147,F314)))))),0)</f>
      </c>
      <c r="G186" s="51">
        <f>IF(AND(28&gt;=1,28&lt;=ROUND(('Annahmen'!$E$148)*12,0)),IF(28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143,(IF(28=1,'Annahmen'!$C$148,G314))),IF('Annahmen'!$F$148="Endfällig",IF(28=ROUND(('Annahmen'!$E$148)*12,0),(IF(28=1,'Annahmen'!$C$148,G314)),0),MIN('Annahmen'!$C$148/(MAX(ROUND(('Annahmen'!$E$148)*12,0)-(0)*12,1)),(IF(28=1,'Annahmen'!$C$148,G314)))))),0)</f>
      </c>
      <c r="H186" s="51">
        <f>IF(AND(28&gt;=1,28&lt;=ROUND(('Annahmen'!$E$149)*12,0)),IF(28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143,(IF(28=1,'Annahmen'!$C$149,H314))),IF('Annahmen'!$F$149="Endfällig",IF(28=ROUND(('Annahmen'!$E$149)*12,0),(IF(28=1,'Annahmen'!$C$149,H314)),0),MIN('Annahmen'!$C$149/(MAX(ROUND(('Annahmen'!$E$149)*12,0)-(0)*12,1)),(IF(28=1,'Annahmen'!$C$149,H314)))))),0)</f>
      </c>
      <c r="I186" s="51">
        <f>IF(AND(28&gt;=1,28&lt;=ROUND(('Annahmen'!$E$150)*12,0)),IF(28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143,(IF(28=1,'Annahmen'!$C$150,I314))),IF('Annahmen'!$F$150="Endfällig",IF(28=ROUND(('Annahmen'!$E$150)*12,0),(IF(28=1,'Annahmen'!$C$150,I314)),0),MIN('Annahmen'!$C$150/(MAX(ROUND(('Annahmen'!$E$150)*12,0)-(0)*12,1)),(IF(28=1,'Annahmen'!$C$150,I314)))))),0)</f>
      </c>
      <c r="J186" s="51">
        <v>0</v>
      </c>
      <c r="K186" s="51">
        <v>0</v>
      </c>
      <c r="L186" s="51">
        <v>0</v>
      </c>
      <c r="M186" s="51">
        <v>0</v>
      </c>
      <c r="N186" s="51">
        <v>0</v>
      </c>
      <c r="O186" s="114">
        <f>SUM(C186:N186)</f>
      </c>
    </row>
    <row r="187" ht="15" customHeight="1" hidden="1" spans="2:15" x14ac:dyDescent="0.25" outlineLevel="1" collapsed="1">
      <c r="B187" s="113" t="s">
        <v>250</v>
      </c>
      <c r="C187" s="51">
        <f>IF(AND(29&gt;=1,29&lt;=ROUND(('Annahmen'!$E$144)*12,0)),IF(29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144,(IF(29=1,'Annahmen'!$C$144,C315))),IF('Annahmen'!$F$144="Endfällig",IF(29=ROUND(('Annahmen'!$E$144)*12,0),(IF(29=1,'Annahmen'!$C$144,C315)),0),MIN('Annahmen'!$C$144/(MAX(ROUND(('Annahmen'!$E$144)*12,0)-(0)*12,1)),(IF(29=1,'Annahmen'!$C$144,C315)))))),0)</f>
      </c>
      <c r="D187" s="51">
        <f>IF(AND(29&gt;=1,29&lt;=ROUND(('Annahmen'!$E$145)*12,0)),IF(29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144,(IF(29=1,'Annahmen'!$C$145,D315))),IF('Annahmen'!$F$145="Endfällig",IF(29=ROUND(('Annahmen'!$E$145)*12,0),(IF(29=1,'Annahmen'!$C$145,D315)),0),MIN('Annahmen'!$C$145/(MAX(ROUND(('Annahmen'!$E$145)*12,0)-(0)*12,1)),(IF(29=1,'Annahmen'!$C$145,D315)))))),0)</f>
      </c>
      <c r="E187" s="51">
        <f>IF(AND(29&gt;=1,29&lt;=ROUND(('Annahmen'!$E$146)*12,0)),IF(29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144,(IF(29=1,'Annahmen'!$C$146,E315))),IF('Annahmen'!$F$146="Endfällig",IF(29=ROUND(('Annahmen'!$E$146)*12,0),(IF(29=1,'Annahmen'!$C$146,E315)),0),MIN('Annahmen'!$C$146/(MAX(ROUND(('Annahmen'!$E$146)*12,0)-(0)*12,1)),(IF(29=1,'Annahmen'!$C$146,E315)))))),0)</f>
      </c>
      <c r="F187" s="51">
        <f>IF(AND(29&gt;=1,29&lt;=ROUND(('Annahmen'!$E$147)*12,0)),IF(29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144,(IF(29=1,'Annahmen'!$C$147,F315))),IF('Annahmen'!$F$147="Endfällig",IF(29=ROUND(('Annahmen'!$E$147)*12,0),(IF(29=1,'Annahmen'!$C$147,F315)),0),MIN('Annahmen'!$C$147/(MAX(ROUND(('Annahmen'!$E$147)*12,0)-(0)*12,1)),(IF(29=1,'Annahmen'!$C$147,F315)))))),0)</f>
      </c>
      <c r="G187" s="51">
        <f>IF(AND(29&gt;=1,29&lt;=ROUND(('Annahmen'!$E$148)*12,0)),IF(29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144,(IF(29=1,'Annahmen'!$C$148,G315))),IF('Annahmen'!$F$148="Endfällig",IF(29=ROUND(('Annahmen'!$E$148)*12,0),(IF(29=1,'Annahmen'!$C$148,G315)),0),MIN('Annahmen'!$C$148/(MAX(ROUND(('Annahmen'!$E$148)*12,0)-(0)*12,1)),(IF(29=1,'Annahmen'!$C$148,G315)))))),0)</f>
      </c>
      <c r="H187" s="51">
        <f>IF(AND(29&gt;=1,29&lt;=ROUND(('Annahmen'!$E$149)*12,0)),IF(29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144,(IF(29=1,'Annahmen'!$C$149,H315))),IF('Annahmen'!$F$149="Endfällig",IF(29=ROUND(('Annahmen'!$E$149)*12,0),(IF(29=1,'Annahmen'!$C$149,H315)),0),MIN('Annahmen'!$C$149/(MAX(ROUND(('Annahmen'!$E$149)*12,0)-(0)*12,1)),(IF(29=1,'Annahmen'!$C$149,H315)))))),0)</f>
      </c>
      <c r="I187" s="51">
        <f>IF(AND(29&gt;=1,29&lt;=ROUND(('Annahmen'!$E$150)*12,0)),IF(29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144,(IF(29=1,'Annahmen'!$C$150,I315))),IF('Annahmen'!$F$150="Endfällig",IF(29=ROUND(('Annahmen'!$E$150)*12,0),(IF(29=1,'Annahmen'!$C$150,I315)),0),MIN('Annahmen'!$C$150/(MAX(ROUND(('Annahmen'!$E$150)*12,0)-(0)*12,1)),(IF(29=1,'Annahmen'!$C$150,I315)))))),0)</f>
      </c>
      <c r="J187" s="51">
        <v>0</v>
      </c>
      <c r="K187" s="51">
        <v>0</v>
      </c>
      <c r="L187" s="51">
        <v>0</v>
      </c>
      <c r="M187" s="51">
        <v>0</v>
      </c>
      <c r="N187" s="51">
        <v>0</v>
      </c>
      <c r="O187" s="114">
        <f>SUM(C187:N187)</f>
      </c>
    </row>
    <row r="188" ht="15" customHeight="1" hidden="1" spans="2:15" x14ac:dyDescent="0.25" outlineLevel="1" collapsed="1">
      <c r="B188" s="113" t="s">
        <v>251</v>
      </c>
      <c r="C188" s="51">
        <f>IF(AND(30&gt;=1,30&lt;=ROUND(('Annahmen'!$E$144)*12,0)),IF(30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145,(IF(30=1,'Annahmen'!$C$144,C316))),IF('Annahmen'!$F$144="Endfällig",IF(30=ROUND(('Annahmen'!$E$144)*12,0),(IF(30=1,'Annahmen'!$C$144,C316)),0),MIN('Annahmen'!$C$144/(MAX(ROUND(('Annahmen'!$E$144)*12,0)-(0)*12,1)),(IF(30=1,'Annahmen'!$C$144,C316)))))),0)</f>
      </c>
      <c r="D188" s="51">
        <f>IF(AND(30&gt;=1,30&lt;=ROUND(('Annahmen'!$E$145)*12,0)),IF(30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145,(IF(30=1,'Annahmen'!$C$145,D316))),IF('Annahmen'!$F$145="Endfällig",IF(30=ROUND(('Annahmen'!$E$145)*12,0),(IF(30=1,'Annahmen'!$C$145,D316)),0),MIN('Annahmen'!$C$145/(MAX(ROUND(('Annahmen'!$E$145)*12,0)-(0)*12,1)),(IF(30=1,'Annahmen'!$C$145,D316)))))),0)</f>
      </c>
      <c r="E188" s="51">
        <f>IF(AND(30&gt;=1,30&lt;=ROUND(('Annahmen'!$E$146)*12,0)),IF(30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145,(IF(30=1,'Annahmen'!$C$146,E316))),IF('Annahmen'!$F$146="Endfällig",IF(30=ROUND(('Annahmen'!$E$146)*12,0),(IF(30=1,'Annahmen'!$C$146,E316)),0),MIN('Annahmen'!$C$146/(MAX(ROUND(('Annahmen'!$E$146)*12,0)-(0)*12,1)),(IF(30=1,'Annahmen'!$C$146,E316)))))),0)</f>
      </c>
      <c r="F188" s="51">
        <f>IF(AND(30&gt;=1,30&lt;=ROUND(('Annahmen'!$E$147)*12,0)),IF(30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145,(IF(30=1,'Annahmen'!$C$147,F316))),IF('Annahmen'!$F$147="Endfällig",IF(30=ROUND(('Annahmen'!$E$147)*12,0),(IF(30=1,'Annahmen'!$C$147,F316)),0),MIN('Annahmen'!$C$147/(MAX(ROUND(('Annahmen'!$E$147)*12,0)-(0)*12,1)),(IF(30=1,'Annahmen'!$C$147,F316)))))),0)</f>
      </c>
      <c r="G188" s="51">
        <f>IF(AND(30&gt;=1,30&lt;=ROUND(('Annahmen'!$E$148)*12,0)),IF(30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145,(IF(30=1,'Annahmen'!$C$148,G316))),IF('Annahmen'!$F$148="Endfällig",IF(30=ROUND(('Annahmen'!$E$148)*12,0),(IF(30=1,'Annahmen'!$C$148,G316)),0),MIN('Annahmen'!$C$148/(MAX(ROUND(('Annahmen'!$E$148)*12,0)-(0)*12,1)),(IF(30=1,'Annahmen'!$C$148,G316)))))),0)</f>
      </c>
      <c r="H188" s="51">
        <f>IF(AND(30&gt;=1,30&lt;=ROUND(('Annahmen'!$E$149)*12,0)),IF(30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145,(IF(30=1,'Annahmen'!$C$149,H316))),IF('Annahmen'!$F$149="Endfällig",IF(30=ROUND(('Annahmen'!$E$149)*12,0),(IF(30=1,'Annahmen'!$C$149,H316)),0),MIN('Annahmen'!$C$149/(MAX(ROUND(('Annahmen'!$E$149)*12,0)-(0)*12,1)),(IF(30=1,'Annahmen'!$C$149,H316)))))),0)</f>
      </c>
      <c r="I188" s="51">
        <f>IF(AND(30&gt;=1,30&lt;=ROUND(('Annahmen'!$E$150)*12,0)),IF(30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145,(IF(30=1,'Annahmen'!$C$150,I316))),IF('Annahmen'!$F$150="Endfällig",IF(30=ROUND(('Annahmen'!$E$150)*12,0),(IF(30=1,'Annahmen'!$C$150,I316)),0),MIN('Annahmen'!$C$150/(MAX(ROUND(('Annahmen'!$E$150)*12,0)-(0)*12,1)),(IF(30=1,'Annahmen'!$C$150,I316)))))),0)</f>
      </c>
      <c r="J188" s="51">
        <v>0</v>
      </c>
      <c r="K188" s="51">
        <v>0</v>
      </c>
      <c r="L188" s="51">
        <v>0</v>
      </c>
      <c r="M188" s="51">
        <v>0</v>
      </c>
      <c r="N188" s="51">
        <v>0</v>
      </c>
      <c r="O188" s="114">
        <f>SUM(C188:N188)</f>
      </c>
    </row>
    <row r="189" ht="15" customHeight="1" hidden="1" spans="2:15" x14ac:dyDescent="0.25" outlineLevel="1" collapsed="1">
      <c r="B189" s="113" t="s">
        <v>252</v>
      </c>
      <c r="C189" s="51">
        <f>IF(AND(31&gt;=1,31&lt;=ROUND(('Annahmen'!$E$144)*12,0)),IF(31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146,(IF(31=1,'Annahmen'!$C$144,C317))),IF('Annahmen'!$F$144="Endfällig",IF(31=ROUND(('Annahmen'!$E$144)*12,0),(IF(31=1,'Annahmen'!$C$144,C317)),0),MIN('Annahmen'!$C$144/(MAX(ROUND(('Annahmen'!$E$144)*12,0)-(0)*12,1)),(IF(31=1,'Annahmen'!$C$144,C317)))))),0)</f>
      </c>
      <c r="D189" s="51">
        <f>IF(AND(31&gt;=1,31&lt;=ROUND(('Annahmen'!$E$145)*12,0)),IF(31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146,(IF(31=1,'Annahmen'!$C$145,D317))),IF('Annahmen'!$F$145="Endfällig",IF(31=ROUND(('Annahmen'!$E$145)*12,0),(IF(31=1,'Annahmen'!$C$145,D317)),0),MIN('Annahmen'!$C$145/(MAX(ROUND(('Annahmen'!$E$145)*12,0)-(0)*12,1)),(IF(31=1,'Annahmen'!$C$145,D317)))))),0)</f>
      </c>
      <c r="E189" s="51">
        <f>IF(AND(31&gt;=1,31&lt;=ROUND(('Annahmen'!$E$146)*12,0)),IF(31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146,(IF(31=1,'Annahmen'!$C$146,E317))),IF('Annahmen'!$F$146="Endfällig",IF(31=ROUND(('Annahmen'!$E$146)*12,0),(IF(31=1,'Annahmen'!$C$146,E317)),0),MIN('Annahmen'!$C$146/(MAX(ROUND(('Annahmen'!$E$146)*12,0)-(0)*12,1)),(IF(31=1,'Annahmen'!$C$146,E317)))))),0)</f>
      </c>
      <c r="F189" s="51">
        <f>IF(AND(31&gt;=1,31&lt;=ROUND(('Annahmen'!$E$147)*12,0)),IF(31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146,(IF(31=1,'Annahmen'!$C$147,F317))),IF('Annahmen'!$F$147="Endfällig",IF(31=ROUND(('Annahmen'!$E$147)*12,0),(IF(31=1,'Annahmen'!$C$147,F317)),0),MIN('Annahmen'!$C$147/(MAX(ROUND(('Annahmen'!$E$147)*12,0)-(0)*12,1)),(IF(31=1,'Annahmen'!$C$147,F317)))))),0)</f>
      </c>
      <c r="G189" s="51">
        <f>IF(AND(31&gt;=1,31&lt;=ROUND(('Annahmen'!$E$148)*12,0)),IF(31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146,(IF(31=1,'Annahmen'!$C$148,G317))),IF('Annahmen'!$F$148="Endfällig",IF(31=ROUND(('Annahmen'!$E$148)*12,0),(IF(31=1,'Annahmen'!$C$148,G317)),0),MIN('Annahmen'!$C$148/(MAX(ROUND(('Annahmen'!$E$148)*12,0)-(0)*12,1)),(IF(31=1,'Annahmen'!$C$148,G317)))))),0)</f>
      </c>
      <c r="H189" s="51">
        <f>IF(AND(31&gt;=1,31&lt;=ROUND(('Annahmen'!$E$149)*12,0)),IF(31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146,(IF(31=1,'Annahmen'!$C$149,H317))),IF('Annahmen'!$F$149="Endfällig",IF(31=ROUND(('Annahmen'!$E$149)*12,0),(IF(31=1,'Annahmen'!$C$149,H317)),0),MIN('Annahmen'!$C$149/(MAX(ROUND(('Annahmen'!$E$149)*12,0)-(0)*12,1)),(IF(31=1,'Annahmen'!$C$149,H317)))))),0)</f>
      </c>
      <c r="I189" s="51">
        <f>IF(AND(31&gt;=1,31&lt;=ROUND(('Annahmen'!$E$150)*12,0)),IF(31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146,(IF(31=1,'Annahmen'!$C$150,I317))),IF('Annahmen'!$F$150="Endfällig",IF(31=ROUND(('Annahmen'!$E$150)*12,0),(IF(31=1,'Annahmen'!$C$150,I317)),0),MIN('Annahmen'!$C$150/(MAX(ROUND(('Annahmen'!$E$150)*12,0)-(0)*12,1)),(IF(31=1,'Annahmen'!$C$150,I317)))))),0)</f>
      </c>
      <c r="J189" s="51">
        <v>0</v>
      </c>
      <c r="K189" s="51">
        <v>0</v>
      </c>
      <c r="L189" s="51">
        <v>0</v>
      </c>
      <c r="M189" s="51">
        <v>0</v>
      </c>
      <c r="N189" s="51">
        <v>0</v>
      </c>
      <c r="O189" s="114">
        <f>SUM(C189:N189)</f>
      </c>
    </row>
    <row r="190" ht="15" customHeight="1" hidden="1" spans="2:15" x14ac:dyDescent="0.25" outlineLevel="1" collapsed="1">
      <c r="B190" s="113" t="s">
        <v>253</v>
      </c>
      <c r="C190" s="51">
        <f>IF(AND(32&gt;=1,32&lt;=ROUND(('Annahmen'!$E$144)*12,0)),IF(32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147,(IF(32=1,'Annahmen'!$C$144,C318))),IF('Annahmen'!$F$144="Endfällig",IF(32=ROUND(('Annahmen'!$E$144)*12,0),(IF(32=1,'Annahmen'!$C$144,C318)),0),MIN('Annahmen'!$C$144/(MAX(ROUND(('Annahmen'!$E$144)*12,0)-(0)*12,1)),(IF(32=1,'Annahmen'!$C$144,C318)))))),0)</f>
      </c>
      <c r="D190" s="51">
        <f>IF(AND(32&gt;=1,32&lt;=ROUND(('Annahmen'!$E$145)*12,0)),IF(32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147,(IF(32=1,'Annahmen'!$C$145,D318))),IF('Annahmen'!$F$145="Endfällig",IF(32=ROUND(('Annahmen'!$E$145)*12,0),(IF(32=1,'Annahmen'!$C$145,D318)),0),MIN('Annahmen'!$C$145/(MAX(ROUND(('Annahmen'!$E$145)*12,0)-(0)*12,1)),(IF(32=1,'Annahmen'!$C$145,D318)))))),0)</f>
      </c>
      <c r="E190" s="51">
        <f>IF(AND(32&gt;=1,32&lt;=ROUND(('Annahmen'!$E$146)*12,0)),IF(32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147,(IF(32=1,'Annahmen'!$C$146,E318))),IF('Annahmen'!$F$146="Endfällig",IF(32=ROUND(('Annahmen'!$E$146)*12,0),(IF(32=1,'Annahmen'!$C$146,E318)),0),MIN('Annahmen'!$C$146/(MAX(ROUND(('Annahmen'!$E$146)*12,0)-(0)*12,1)),(IF(32=1,'Annahmen'!$C$146,E318)))))),0)</f>
      </c>
      <c r="F190" s="51">
        <f>IF(AND(32&gt;=1,32&lt;=ROUND(('Annahmen'!$E$147)*12,0)),IF(32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147,(IF(32=1,'Annahmen'!$C$147,F318))),IF('Annahmen'!$F$147="Endfällig",IF(32=ROUND(('Annahmen'!$E$147)*12,0),(IF(32=1,'Annahmen'!$C$147,F318)),0),MIN('Annahmen'!$C$147/(MAX(ROUND(('Annahmen'!$E$147)*12,0)-(0)*12,1)),(IF(32=1,'Annahmen'!$C$147,F318)))))),0)</f>
      </c>
      <c r="G190" s="51">
        <f>IF(AND(32&gt;=1,32&lt;=ROUND(('Annahmen'!$E$148)*12,0)),IF(32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147,(IF(32=1,'Annahmen'!$C$148,G318))),IF('Annahmen'!$F$148="Endfällig",IF(32=ROUND(('Annahmen'!$E$148)*12,0),(IF(32=1,'Annahmen'!$C$148,G318)),0),MIN('Annahmen'!$C$148/(MAX(ROUND(('Annahmen'!$E$148)*12,0)-(0)*12,1)),(IF(32=1,'Annahmen'!$C$148,G318)))))),0)</f>
      </c>
      <c r="H190" s="51">
        <f>IF(AND(32&gt;=1,32&lt;=ROUND(('Annahmen'!$E$149)*12,0)),IF(32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147,(IF(32=1,'Annahmen'!$C$149,H318))),IF('Annahmen'!$F$149="Endfällig",IF(32=ROUND(('Annahmen'!$E$149)*12,0),(IF(32=1,'Annahmen'!$C$149,H318)),0),MIN('Annahmen'!$C$149/(MAX(ROUND(('Annahmen'!$E$149)*12,0)-(0)*12,1)),(IF(32=1,'Annahmen'!$C$149,H318)))))),0)</f>
      </c>
      <c r="I190" s="51">
        <f>IF(AND(32&gt;=1,32&lt;=ROUND(('Annahmen'!$E$150)*12,0)),IF(32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147,(IF(32=1,'Annahmen'!$C$150,I318))),IF('Annahmen'!$F$150="Endfällig",IF(32=ROUND(('Annahmen'!$E$150)*12,0),(IF(32=1,'Annahmen'!$C$150,I318)),0),MIN('Annahmen'!$C$150/(MAX(ROUND(('Annahmen'!$E$150)*12,0)-(0)*12,1)),(IF(32=1,'Annahmen'!$C$150,I318)))))),0)</f>
      </c>
      <c r="J190" s="51">
        <v>0</v>
      </c>
      <c r="K190" s="51">
        <v>0</v>
      </c>
      <c r="L190" s="51">
        <v>0</v>
      </c>
      <c r="M190" s="51">
        <v>0</v>
      </c>
      <c r="N190" s="51">
        <v>0</v>
      </c>
      <c r="O190" s="114">
        <f>SUM(C190:N190)</f>
      </c>
    </row>
    <row r="191" ht="15" customHeight="1" hidden="1" spans="2:15" x14ac:dyDescent="0.25" outlineLevel="1" collapsed="1">
      <c r="B191" s="113" t="s">
        <v>254</v>
      </c>
      <c r="C191" s="51">
        <f>IF(AND(33&gt;=1,33&lt;=ROUND(('Annahmen'!$E$144)*12,0)),IF(33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148,(IF(33=1,'Annahmen'!$C$144,C319))),IF('Annahmen'!$F$144="Endfällig",IF(33=ROUND(('Annahmen'!$E$144)*12,0),(IF(33=1,'Annahmen'!$C$144,C319)),0),MIN('Annahmen'!$C$144/(MAX(ROUND(('Annahmen'!$E$144)*12,0)-(0)*12,1)),(IF(33=1,'Annahmen'!$C$144,C319)))))),0)</f>
      </c>
      <c r="D191" s="51">
        <f>IF(AND(33&gt;=1,33&lt;=ROUND(('Annahmen'!$E$145)*12,0)),IF(33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148,(IF(33=1,'Annahmen'!$C$145,D319))),IF('Annahmen'!$F$145="Endfällig",IF(33=ROUND(('Annahmen'!$E$145)*12,0),(IF(33=1,'Annahmen'!$C$145,D319)),0),MIN('Annahmen'!$C$145/(MAX(ROUND(('Annahmen'!$E$145)*12,0)-(0)*12,1)),(IF(33=1,'Annahmen'!$C$145,D319)))))),0)</f>
      </c>
      <c r="E191" s="51">
        <f>IF(AND(33&gt;=1,33&lt;=ROUND(('Annahmen'!$E$146)*12,0)),IF(33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148,(IF(33=1,'Annahmen'!$C$146,E319))),IF('Annahmen'!$F$146="Endfällig",IF(33=ROUND(('Annahmen'!$E$146)*12,0),(IF(33=1,'Annahmen'!$C$146,E319)),0),MIN('Annahmen'!$C$146/(MAX(ROUND(('Annahmen'!$E$146)*12,0)-(0)*12,1)),(IF(33=1,'Annahmen'!$C$146,E319)))))),0)</f>
      </c>
      <c r="F191" s="51">
        <f>IF(AND(33&gt;=1,33&lt;=ROUND(('Annahmen'!$E$147)*12,0)),IF(33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148,(IF(33=1,'Annahmen'!$C$147,F319))),IF('Annahmen'!$F$147="Endfällig",IF(33=ROUND(('Annahmen'!$E$147)*12,0),(IF(33=1,'Annahmen'!$C$147,F319)),0),MIN('Annahmen'!$C$147/(MAX(ROUND(('Annahmen'!$E$147)*12,0)-(0)*12,1)),(IF(33=1,'Annahmen'!$C$147,F319)))))),0)</f>
      </c>
      <c r="G191" s="51">
        <f>IF(AND(33&gt;=1,33&lt;=ROUND(('Annahmen'!$E$148)*12,0)),IF(33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148,(IF(33=1,'Annahmen'!$C$148,G319))),IF('Annahmen'!$F$148="Endfällig",IF(33=ROUND(('Annahmen'!$E$148)*12,0),(IF(33=1,'Annahmen'!$C$148,G319)),0),MIN('Annahmen'!$C$148/(MAX(ROUND(('Annahmen'!$E$148)*12,0)-(0)*12,1)),(IF(33=1,'Annahmen'!$C$148,G319)))))),0)</f>
      </c>
      <c r="H191" s="51">
        <f>IF(AND(33&gt;=1,33&lt;=ROUND(('Annahmen'!$E$149)*12,0)),IF(33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148,(IF(33=1,'Annahmen'!$C$149,H319))),IF('Annahmen'!$F$149="Endfällig",IF(33=ROUND(('Annahmen'!$E$149)*12,0),(IF(33=1,'Annahmen'!$C$149,H319)),0),MIN('Annahmen'!$C$149/(MAX(ROUND(('Annahmen'!$E$149)*12,0)-(0)*12,1)),(IF(33=1,'Annahmen'!$C$149,H319)))))),0)</f>
      </c>
      <c r="I191" s="51">
        <f>IF(AND(33&gt;=1,33&lt;=ROUND(('Annahmen'!$E$150)*12,0)),IF(33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148,(IF(33=1,'Annahmen'!$C$150,I319))),IF('Annahmen'!$F$150="Endfällig",IF(33=ROUND(('Annahmen'!$E$150)*12,0),(IF(33=1,'Annahmen'!$C$150,I319)),0),MIN('Annahmen'!$C$150/(MAX(ROUND(('Annahmen'!$E$150)*12,0)-(0)*12,1)),(IF(33=1,'Annahmen'!$C$150,I319)))))),0)</f>
      </c>
      <c r="J191" s="51">
        <v>0</v>
      </c>
      <c r="K191" s="51">
        <v>0</v>
      </c>
      <c r="L191" s="51">
        <v>0</v>
      </c>
      <c r="M191" s="51">
        <v>0</v>
      </c>
      <c r="N191" s="51">
        <v>0</v>
      </c>
      <c r="O191" s="114">
        <f>SUM(C191:N191)</f>
      </c>
    </row>
    <row r="192" ht="15" customHeight="1" hidden="1" spans="2:15" x14ac:dyDescent="0.25" outlineLevel="1" collapsed="1">
      <c r="B192" s="113" t="s">
        <v>255</v>
      </c>
      <c r="C192" s="51">
        <f>IF(AND(34&gt;=1,34&lt;=ROUND(('Annahmen'!$E$144)*12,0)),IF(34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149,(IF(34=1,'Annahmen'!$C$144,C320))),IF('Annahmen'!$F$144="Endfällig",IF(34=ROUND(('Annahmen'!$E$144)*12,0),(IF(34=1,'Annahmen'!$C$144,C320)),0),MIN('Annahmen'!$C$144/(MAX(ROUND(('Annahmen'!$E$144)*12,0)-(0)*12,1)),(IF(34=1,'Annahmen'!$C$144,C320)))))),0)</f>
      </c>
      <c r="D192" s="51">
        <f>IF(AND(34&gt;=1,34&lt;=ROUND(('Annahmen'!$E$145)*12,0)),IF(34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149,(IF(34=1,'Annahmen'!$C$145,D320))),IF('Annahmen'!$F$145="Endfällig",IF(34=ROUND(('Annahmen'!$E$145)*12,0),(IF(34=1,'Annahmen'!$C$145,D320)),0),MIN('Annahmen'!$C$145/(MAX(ROUND(('Annahmen'!$E$145)*12,0)-(0)*12,1)),(IF(34=1,'Annahmen'!$C$145,D320)))))),0)</f>
      </c>
      <c r="E192" s="51">
        <f>IF(AND(34&gt;=1,34&lt;=ROUND(('Annahmen'!$E$146)*12,0)),IF(34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149,(IF(34=1,'Annahmen'!$C$146,E320))),IF('Annahmen'!$F$146="Endfällig",IF(34=ROUND(('Annahmen'!$E$146)*12,0),(IF(34=1,'Annahmen'!$C$146,E320)),0),MIN('Annahmen'!$C$146/(MAX(ROUND(('Annahmen'!$E$146)*12,0)-(0)*12,1)),(IF(34=1,'Annahmen'!$C$146,E320)))))),0)</f>
      </c>
      <c r="F192" s="51">
        <f>IF(AND(34&gt;=1,34&lt;=ROUND(('Annahmen'!$E$147)*12,0)),IF(34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149,(IF(34=1,'Annahmen'!$C$147,F320))),IF('Annahmen'!$F$147="Endfällig",IF(34=ROUND(('Annahmen'!$E$147)*12,0),(IF(34=1,'Annahmen'!$C$147,F320)),0),MIN('Annahmen'!$C$147/(MAX(ROUND(('Annahmen'!$E$147)*12,0)-(0)*12,1)),(IF(34=1,'Annahmen'!$C$147,F320)))))),0)</f>
      </c>
      <c r="G192" s="51">
        <f>IF(AND(34&gt;=1,34&lt;=ROUND(('Annahmen'!$E$148)*12,0)),IF(34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149,(IF(34=1,'Annahmen'!$C$148,G320))),IF('Annahmen'!$F$148="Endfällig",IF(34=ROUND(('Annahmen'!$E$148)*12,0),(IF(34=1,'Annahmen'!$C$148,G320)),0),MIN('Annahmen'!$C$148/(MAX(ROUND(('Annahmen'!$E$148)*12,0)-(0)*12,1)),(IF(34=1,'Annahmen'!$C$148,G320)))))),0)</f>
      </c>
      <c r="H192" s="51">
        <f>IF(AND(34&gt;=1,34&lt;=ROUND(('Annahmen'!$E$149)*12,0)),IF(34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149,(IF(34=1,'Annahmen'!$C$149,H320))),IF('Annahmen'!$F$149="Endfällig",IF(34=ROUND(('Annahmen'!$E$149)*12,0),(IF(34=1,'Annahmen'!$C$149,H320)),0),MIN('Annahmen'!$C$149/(MAX(ROUND(('Annahmen'!$E$149)*12,0)-(0)*12,1)),(IF(34=1,'Annahmen'!$C$149,H320)))))),0)</f>
      </c>
      <c r="I192" s="51">
        <f>IF(AND(34&gt;=1,34&lt;=ROUND(('Annahmen'!$E$150)*12,0)),IF(34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149,(IF(34=1,'Annahmen'!$C$150,I320))),IF('Annahmen'!$F$150="Endfällig",IF(34=ROUND(('Annahmen'!$E$150)*12,0),(IF(34=1,'Annahmen'!$C$150,I320)),0),MIN('Annahmen'!$C$150/(MAX(ROUND(('Annahmen'!$E$150)*12,0)-(0)*12,1)),(IF(34=1,'Annahmen'!$C$150,I320)))))),0)</f>
      </c>
      <c r="J192" s="51">
        <v>0</v>
      </c>
      <c r="K192" s="51">
        <v>0</v>
      </c>
      <c r="L192" s="51">
        <v>0</v>
      </c>
      <c r="M192" s="51">
        <v>0</v>
      </c>
      <c r="N192" s="51">
        <v>0</v>
      </c>
      <c r="O192" s="114">
        <f>SUM(C192:N192)</f>
      </c>
    </row>
    <row r="193" ht="15" customHeight="1" hidden="1" spans="2:15" x14ac:dyDescent="0.25" outlineLevel="1" collapsed="1">
      <c r="B193" s="113" t="s">
        <v>256</v>
      </c>
      <c r="C193" s="51">
        <f>IF(AND(35&gt;=1,35&lt;=ROUND(('Annahmen'!$E$144)*12,0)),IF(35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150,(IF(35=1,'Annahmen'!$C$144,C321))),IF('Annahmen'!$F$144="Endfällig",IF(35=ROUND(('Annahmen'!$E$144)*12,0),(IF(35=1,'Annahmen'!$C$144,C321)),0),MIN('Annahmen'!$C$144/(MAX(ROUND(('Annahmen'!$E$144)*12,0)-(0)*12,1)),(IF(35=1,'Annahmen'!$C$144,C321)))))),0)</f>
      </c>
      <c r="D193" s="51">
        <f>IF(AND(35&gt;=1,35&lt;=ROUND(('Annahmen'!$E$145)*12,0)),IF(35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150,(IF(35=1,'Annahmen'!$C$145,D321))),IF('Annahmen'!$F$145="Endfällig",IF(35=ROUND(('Annahmen'!$E$145)*12,0),(IF(35=1,'Annahmen'!$C$145,D321)),0),MIN('Annahmen'!$C$145/(MAX(ROUND(('Annahmen'!$E$145)*12,0)-(0)*12,1)),(IF(35=1,'Annahmen'!$C$145,D321)))))),0)</f>
      </c>
      <c r="E193" s="51">
        <f>IF(AND(35&gt;=1,35&lt;=ROUND(('Annahmen'!$E$146)*12,0)),IF(35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150,(IF(35=1,'Annahmen'!$C$146,E321))),IF('Annahmen'!$F$146="Endfällig",IF(35=ROUND(('Annahmen'!$E$146)*12,0),(IF(35=1,'Annahmen'!$C$146,E321)),0),MIN('Annahmen'!$C$146/(MAX(ROUND(('Annahmen'!$E$146)*12,0)-(0)*12,1)),(IF(35=1,'Annahmen'!$C$146,E321)))))),0)</f>
      </c>
      <c r="F193" s="51">
        <f>IF(AND(35&gt;=1,35&lt;=ROUND(('Annahmen'!$E$147)*12,0)),IF(35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150,(IF(35=1,'Annahmen'!$C$147,F321))),IF('Annahmen'!$F$147="Endfällig",IF(35=ROUND(('Annahmen'!$E$147)*12,0),(IF(35=1,'Annahmen'!$C$147,F321)),0),MIN('Annahmen'!$C$147/(MAX(ROUND(('Annahmen'!$E$147)*12,0)-(0)*12,1)),(IF(35=1,'Annahmen'!$C$147,F321)))))),0)</f>
      </c>
      <c r="G193" s="51">
        <f>IF(AND(35&gt;=1,35&lt;=ROUND(('Annahmen'!$E$148)*12,0)),IF(35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150,(IF(35=1,'Annahmen'!$C$148,G321))),IF('Annahmen'!$F$148="Endfällig",IF(35=ROUND(('Annahmen'!$E$148)*12,0),(IF(35=1,'Annahmen'!$C$148,G321)),0),MIN('Annahmen'!$C$148/(MAX(ROUND(('Annahmen'!$E$148)*12,0)-(0)*12,1)),(IF(35=1,'Annahmen'!$C$148,G321)))))),0)</f>
      </c>
      <c r="H193" s="51">
        <f>IF(AND(35&gt;=1,35&lt;=ROUND(('Annahmen'!$E$149)*12,0)),IF(35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150,(IF(35=1,'Annahmen'!$C$149,H321))),IF('Annahmen'!$F$149="Endfällig",IF(35=ROUND(('Annahmen'!$E$149)*12,0),(IF(35=1,'Annahmen'!$C$149,H321)),0),MIN('Annahmen'!$C$149/(MAX(ROUND(('Annahmen'!$E$149)*12,0)-(0)*12,1)),(IF(35=1,'Annahmen'!$C$149,H321)))))),0)</f>
      </c>
      <c r="I193" s="51">
        <f>IF(AND(35&gt;=1,35&lt;=ROUND(('Annahmen'!$E$150)*12,0)),IF(35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150,(IF(35=1,'Annahmen'!$C$150,I321))),IF('Annahmen'!$F$150="Endfällig",IF(35=ROUND(('Annahmen'!$E$150)*12,0),(IF(35=1,'Annahmen'!$C$150,I321)),0),MIN('Annahmen'!$C$150/(MAX(ROUND(('Annahmen'!$E$150)*12,0)-(0)*12,1)),(IF(35=1,'Annahmen'!$C$150,I321)))))),0)</f>
      </c>
      <c r="J193" s="51">
        <v>0</v>
      </c>
      <c r="K193" s="51">
        <v>0</v>
      </c>
      <c r="L193" s="51">
        <v>0</v>
      </c>
      <c r="M193" s="51">
        <v>0</v>
      </c>
      <c r="N193" s="51">
        <v>0</v>
      </c>
      <c r="O193" s="114">
        <f>SUM(C193:N193)</f>
      </c>
    </row>
    <row r="194" ht="15" customHeight="1" hidden="1" spans="2:15" x14ac:dyDescent="0.25" outlineLevel="1" collapsed="1">
      <c r="B194" s="113" t="s">
        <v>257</v>
      </c>
      <c r="C194" s="51">
        <f>IF(AND(36&gt;=1,36&lt;=ROUND(('Annahmen'!$E$144)*12,0)),IF(36&lt;=(0)*12,0,IF('Annahmen'!$F$144="Annuität",MIN((IF('Annahmen'!$D$144=0,'Annahmen'!$C$144/(MAX(ROUND(('Annahmen'!$E$144)*12,0)-(0)*12,1)),'Annahmen'!$C$144*(('Annahmen'!$D$144/12)*(1+('Annahmen'!$D$144/12))^(MAX(ROUND(('Annahmen'!$E$144)*12,0)-(0)*12,1)))/((1+('Annahmen'!$D$144/12))^(MAX(ROUND(('Annahmen'!$E$144)*12,0)-(0)*12,1))-1)))-C151,(IF(36=1,'Annahmen'!$C$144,C322))),IF('Annahmen'!$F$144="Endfällig",IF(36=ROUND(('Annahmen'!$E$144)*12,0),(IF(36=1,'Annahmen'!$C$144,C322)),0),MIN('Annahmen'!$C$144/(MAX(ROUND(('Annahmen'!$E$144)*12,0)-(0)*12,1)),(IF(36=1,'Annahmen'!$C$144,C322)))))),0)</f>
      </c>
      <c r="D194" s="51">
        <f>IF(AND(36&gt;=1,36&lt;=ROUND(('Annahmen'!$E$145)*12,0)),IF(36&lt;=(0)*12,0,IF('Annahmen'!$F$145="Annuität",MIN((IF('Annahmen'!$D$145=0,'Annahmen'!$C$145/(MAX(ROUND(('Annahmen'!$E$145)*12,0)-(0)*12,1)),'Annahmen'!$C$145*(('Annahmen'!$D$145/12)*(1+('Annahmen'!$D$145/12))^(MAX(ROUND(('Annahmen'!$E$145)*12,0)-(0)*12,1)))/((1+('Annahmen'!$D$145/12))^(MAX(ROUND(('Annahmen'!$E$145)*12,0)-(0)*12,1))-1)))-D151,(IF(36=1,'Annahmen'!$C$145,D322))),IF('Annahmen'!$F$145="Endfällig",IF(36=ROUND(('Annahmen'!$E$145)*12,0),(IF(36=1,'Annahmen'!$C$145,D322)),0),MIN('Annahmen'!$C$145/(MAX(ROUND(('Annahmen'!$E$145)*12,0)-(0)*12,1)),(IF(36=1,'Annahmen'!$C$145,D322)))))),0)</f>
      </c>
      <c r="E194" s="51">
        <f>IF(AND(36&gt;=1,36&lt;=ROUND(('Annahmen'!$E$146)*12,0)),IF(36&lt;=(0)*12,0,IF('Annahmen'!$F$146="Annuität",MIN((IF('Annahmen'!$D$146=0,'Annahmen'!$C$146/(MAX(ROUND(('Annahmen'!$E$146)*12,0)-(0)*12,1)),'Annahmen'!$C$146*(('Annahmen'!$D$146/12)*(1+('Annahmen'!$D$146/12))^(MAX(ROUND(('Annahmen'!$E$146)*12,0)-(0)*12,1)))/((1+('Annahmen'!$D$146/12))^(MAX(ROUND(('Annahmen'!$E$146)*12,0)-(0)*12,1))-1)))-E151,(IF(36=1,'Annahmen'!$C$146,E322))),IF('Annahmen'!$F$146="Endfällig",IF(36=ROUND(('Annahmen'!$E$146)*12,0),(IF(36=1,'Annahmen'!$C$146,E322)),0),MIN('Annahmen'!$C$146/(MAX(ROUND(('Annahmen'!$E$146)*12,0)-(0)*12,1)),(IF(36=1,'Annahmen'!$C$146,E322)))))),0)</f>
      </c>
      <c r="F194" s="51">
        <f>IF(AND(36&gt;=1,36&lt;=ROUND(('Annahmen'!$E$147)*12,0)),IF(36&lt;=(0)*12,0,IF('Annahmen'!$F$147="Annuität",MIN((IF('Annahmen'!$D$147=0,'Annahmen'!$C$147/(MAX(ROUND(('Annahmen'!$E$147)*12,0)-(0)*12,1)),'Annahmen'!$C$147*(('Annahmen'!$D$147/12)*(1+('Annahmen'!$D$147/12))^(MAX(ROUND(('Annahmen'!$E$147)*12,0)-(0)*12,1)))/((1+('Annahmen'!$D$147/12))^(MAX(ROUND(('Annahmen'!$E$147)*12,0)-(0)*12,1))-1)))-F151,(IF(36=1,'Annahmen'!$C$147,F322))),IF('Annahmen'!$F$147="Endfällig",IF(36=ROUND(('Annahmen'!$E$147)*12,0),(IF(36=1,'Annahmen'!$C$147,F322)),0),MIN('Annahmen'!$C$147/(MAX(ROUND(('Annahmen'!$E$147)*12,0)-(0)*12,1)),(IF(36=1,'Annahmen'!$C$147,F322)))))),0)</f>
      </c>
      <c r="G194" s="51">
        <f>IF(AND(36&gt;=1,36&lt;=ROUND(('Annahmen'!$E$148)*12,0)),IF(36&lt;=(0)*12,0,IF('Annahmen'!$F$148="Annuität",MIN((IF('Annahmen'!$D$148=0,'Annahmen'!$C$148/(MAX(ROUND(('Annahmen'!$E$148)*12,0)-(0)*12,1)),'Annahmen'!$C$148*(('Annahmen'!$D$148/12)*(1+('Annahmen'!$D$148/12))^(MAX(ROUND(('Annahmen'!$E$148)*12,0)-(0)*12,1)))/((1+('Annahmen'!$D$148/12))^(MAX(ROUND(('Annahmen'!$E$148)*12,0)-(0)*12,1))-1)))-G151,(IF(36=1,'Annahmen'!$C$148,G322))),IF('Annahmen'!$F$148="Endfällig",IF(36=ROUND(('Annahmen'!$E$148)*12,0),(IF(36=1,'Annahmen'!$C$148,G322)),0),MIN('Annahmen'!$C$148/(MAX(ROUND(('Annahmen'!$E$148)*12,0)-(0)*12,1)),(IF(36=1,'Annahmen'!$C$148,G322)))))),0)</f>
      </c>
      <c r="H194" s="51">
        <f>IF(AND(36&gt;=1,36&lt;=ROUND(('Annahmen'!$E$149)*12,0)),IF(36&lt;=(0)*12,0,IF('Annahmen'!$F$149="Annuität",MIN((IF('Annahmen'!$D$149=0,'Annahmen'!$C$149/(MAX(ROUND(('Annahmen'!$E$149)*12,0)-(0)*12,1)),'Annahmen'!$C$149*(('Annahmen'!$D$149/12)*(1+('Annahmen'!$D$149/12))^(MAX(ROUND(('Annahmen'!$E$149)*12,0)-(0)*12,1)))/((1+('Annahmen'!$D$149/12))^(MAX(ROUND(('Annahmen'!$E$149)*12,0)-(0)*12,1))-1)))-H151,(IF(36=1,'Annahmen'!$C$149,H322))),IF('Annahmen'!$F$149="Endfällig",IF(36=ROUND(('Annahmen'!$E$149)*12,0),(IF(36=1,'Annahmen'!$C$149,H322)),0),MIN('Annahmen'!$C$149/(MAX(ROUND(('Annahmen'!$E$149)*12,0)-(0)*12,1)),(IF(36=1,'Annahmen'!$C$149,H322)))))),0)</f>
      </c>
      <c r="I194" s="51">
        <f>IF(AND(36&gt;=1,36&lt;=ROUND(('Annahmen'!$E$150)*12,0)),IF(36&lt;=(0)*12,0,IF('Annahmen'!$F$150="Annuität",MIN((IF('Annahmen'!$D$150=0,'Annahmen'!$C$150/(MAX(ROUND(('Annahmen'!$E$150)*12,0)-(0)*12,1)),'Annahmen'!$C$150*(('Annahmen'!$D$150/12)*(1+('Annahmen'!$D$150/12))^(MAX(ROUND(('Annahmen'!$E$150)*12,0)-(0)*12,1)))/((1+('Annahmen'!$D$150/12))^(MAX(ROUND(('Annahmen'!$E$150)*12,0)-(0)*12,1))-1)))-I151,(IF(36=1,'Annahmen'!$C$150,I322))),IF('Annahmen'!$F$150="Endfällig",IF(36=ROUND(('Annahmen'!$E$150)*12,0),(IF(36=1,'Annahmen'!$C$150,I322)),0),MIN('Annahmen'!$C$150/(MAX(ROUND(('Annahmen'!$E$150)*12,0)-(0)*12,1)),(IF(36=1,'Annahmen'!$C$150,I322)))))),0)</f>
      </c>
      <c r="J194" s="51">
        <v>0</v>
      </c>
      <c r="K194" s="51">
        <v>0</v>
      </c>
      <c r="L194" s="51">
        <v>0</v>
      </c>
      <c r="M194" s="51">
        <v>0</v>
      </c>
      <c r="N194" s="51">
        <v>0</v>
      </c>
      <c r="O194" s="114">
        <f>SUM(C194:N194)</f>
      </c>
    </row>
    <row r="195" ht="15" customHeight="1" hidden="1" spans="2:15" x14ac:dyDescent="0.25" outlineLevel="1" collapsed="1">
      <c r="B195" s="115" t="s">
        <v>258</v>
      </c>
      <c r="C195" s="23">
        <f>SUM(C183:C194)</f>
      </c>
      <c r="D195" s="23">
        <f>SUM(D183:D194)</f>
      </c>
      <c r="E195" s="23">
        <f>SUM(E183:E194)</f>
      </c>
      <c r="F195" s="23">
        <f>SUM(F183:F194)</f>
      </c>
      <c r="G195" s="23">
        <f>SUM(G183:G194)</f>
      </c>
      <c r="H195" s="23">
        <f>SUM(H183:H194)</f>
      </c>
      <c r="I195" s="23">
        <f>SUM(I183:I194)</f>
      </c>
      <c r="J195" s="23">
        <f>SUM(J183:J194)</f>
      </c>
      <c r="K195" s="23">
        <f>SUM(K183:K194)</f>
      </c>
      <c r="L195" s="23">
        <f>SUM(L183:L194)</f>
      </c>
      <c r="M195" s="23">
        <f>SUM(M183:M194)</f>
      </c>
      <c r="N195" s="23">
        <f>SUM(N183:N194)</f>
      </c>
      <c r="O195" s="116">
        <f>SUM(O183:O194)</f>
      </c>
    </row>
    <row r="196" ht="18" customHeight="1" hidden="1" spans="2:15" x14ac:dyDescent="0.25" outlineLevel="1" collapsed="1">
      <c r="B196" s="117" t="s">
        <v>426</v>
      </c>
      <c r="C196" s="118">
        <f>C169+C182+C195</f>
      </c>
      <c r="D196" s="118">
        <f>D169+D182+D195</f>
      </c>
      <c r="E196" s="118">
        <f>E169+E182+E195</f>
      </c>
      <c r="F196" s="118">
        <f>F169+F182+F195</f>
      </c>
      <c r="G196" s="118">
        <f>G169+G182+G195</f>
      </c>
      <c r="H196" s="118">
        <f>H169+H182+H195</f>
      </c>
      <c r="I196" s="118">
        <f>I169+I182+I195</f>
      </c>
      <c r="J196" s="118">
        <f>J169+J182+J195</f>
      </c>
      <c r="K196" s="118">
        <f>K169+K182+K195</f>
      </c>
      <c r="L196" s="118">
        <f>L169+L182+L195</f>
      </c>
      <c r="M196" s="118">
        <f>M169+M182+M195</f>
      </c>
      <c r="N196" s="118">
        <f>N169+N182+N195</f>
      </c>
      <c r="O196" s="119">
        <f>O169+O182+O195</f>
      </c>
    </row>
    <row r="197" ht="15" customHeight="1" hidden="1" x14ac:dyDescent="0.25" outlineLevel="1" collapsed="1"/>
    <row r="198" ht="18" customHeight="1" hidden="1" spans="2:2" x14ac:dyDescent="0.25" outlineLevel="1" collapsed="1">
      <c r="B198" s="109" t="s">
        <v>402</v>
      </c>
    </row>
    <row r="199" ht="24" customHeight="1" hidden="1" spans="2:15" x14ac:dyDescent="0.25" outlineLevel="1" collapsed="1">
      <c r="B199" s="110" t="s">
        <v>101</v>
      </c>
      <c r="C199" s="111" t="s">
        <v>188</v>
      </c>
      <c r="D199" s="111" t="s">
        <v>189</v>
      </c>
      <c r="E199" s="111" t="s">
        <v>190</v>
      </c>
      <c r="F199" s="111" t="s">
        <v>191</v>
      </c>
      <c r="G199" s="111" t="s">
        <v>192</v>
      </c>
      <c r="H199" s="111" t="s">
        <v>194</v>
      </c>
      <c r="I199" s="111" t="s">
        <v>195</v>
      </c>
      <c r="J199" s="111" t="s">
        <v>199</v>
      </c>
      <c r="K199" s="111" t="s">
        <v>200</v>
      </c>
      <c r="L199" s="111" t="s">
        <v>201</v>
      </c>
      <c r="M199" s="111" t="s">
        <v>202</v>
      </c>
      <c r="N199" s="111" t="s">
        <v>204</v>
      </c>
      <c r="O199" s="112" t="s">
        <v>134</v>
      </c>
    </row>
    <row r="200" ht="15" customHeight="1" hidden="1" spans="2:15" x14ac:dyDescent="0.25" outlineLevel="1" collapsed="1">
      <c r="B200" s="113" t="s">
        <v>220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f>IF(AND((0-(('Annahmen'!$I$155-2026)*12+'Annahmen'!$H$155-1)+1)&gt;=1,(0-(('Annahmen'!$I$155-2026)*12+'Annahmen'!$H$155-1)+1)&lt;=ROUND(('Annahmen'!$E$155)*12,0)),IF((0-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114,(IF((0-(('Annahmen'!$I$155-2026)*12+'Annahmen'!$H$155-1)+1)=1,'Annahmen'!$C$155,0))),IF('Annahmen'!$G$155="Endfällig",IF((0-(('Annahmen'!$I$155-2026)*12+'Annahmen'!$H$155-1)+1)=ROUND(('Annahmen'!$E$155)*12,0),(IF((0-(('Annahmen'!$I$155-2026)*12+'Annahmen'!$H$155-1)+1)=1,'Annahmen'!$C$155,0)),0),MIN('Annahmen'!$C$155/(MAX(ROUND(('Annahmen'!$E$155)*12,0)-('Annahmen'!$F$155)*12,1)),(IF((0-(('Annahmen'!$I$155-2026)*12+'Annahmen'!$H$155-1)+1)=1,'Annahmen'!$C$155,0)))))),0)</f>
      </c>
      <c r="K200" s="51">
        <f>IF(AND((0-(('Annahmen'!$I$156-2026)*12+'Annahmen'!$H$156-1)+1)&gt;=1,(0-(('Annahmen'!$I$156-2026)*12+'Annahmen'!$H$156-1)+1)&lt;=ROUND(('Annahmen'!$E$156)*12,0)),IF((0-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114,(IF((0-(('Annahmen'!$I$156-2026)*12+'Annahmen'!$H$156-1)+1)=1,'Annahmen'!$C$156,0))),IF('Annahmen'!$G$156="Endfällig",IF((0-(('Annahmen'!$I$156-2026)*12+'Annahmen'!$H$156-1)+1)=ROUND(('Annahmen'!$E$156)*12,0),(IF((0-(('Annahmen'!$I$156-2026)*12+'Annahmen'!$H$156-1)+1)=1,'Annahmen'!$C$156,0)),0),MIN('Annahmen'!$C$156/(MAX(ROUND(('Annahmen'!$E$156)*12,0)-('Annahmen'!$F$156)*12,1)),(IF((0-(('Annahmen'!$I$156-2026)*12+'Annahmen'!$H$156-1)+1)=1,'Annahmen'!$C$156,0)))))),0)</f>
      </c>
      <c r="L200" s="51">
        <f>IF(AND((0-(('Annahmen'!$I$157-2026)*12+'Annahmen'!$H$157-1)+1)&gt;=1,(0-(('Annahmen'!$I$157-2026)*12+'Annahmen'!$H$157-1)+1)&lt;=ROUND(('Annahmen'!$E$157)*12,0)),IF((0-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114,(IF((0-(('Annahmen'!$I$157-2026)*12+'Annahmen'!$H$157-1)+1)=1,'Annahmen'!$C$157,0))),IF('Annahmen'!$G$157="Endfällig",IF((0-(('Annahmen'!$I$157-2026)*12+'Annahmen'!$H$157-1)+1)=ROUND(('Annahmen'!$E$157)*12,0),(IF((0-(('Annahmen'!$I$157-2026)*12+'Annahmen'!$H$157-1)+1)=1,'Annahmen'!$C$157,0)),0),MIN('Annahmen'!$C$157/(MAX(ROUND(('Annahmen'!$E$157)*12,0)-('Annahmen'!$F$157)*12,1)),(IF((0-(('Annahmen'!$I$157-2026)*12+'Annahmen'!$H$157-1)+1)=1,'Annahmen'!$C$157,0)))))),0)</f>
      </c>
      <c r="M200" s="51">
        <f>IF(AND((0-(('Annahmen'!$I$158-2026)*12+'Annahmen'!$H$158-1)+1)&gt;=1,(0-(('Annahmen'!$I$158-2026)*12+'Annahmen'!$H$158-1)+1)&lt;=ROUND(('Annahmen'!$E$158)*12,0)),IF((0-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114,(IF((0-(('Annahmen'!$I$158-2026)*12+'Annahmen'!$H$158-1)+1)=1,'Annahmen'!$C$158,0))),IF('Annahmen'!$G$158="Endfällig",IF((0-(('Annahmen'!$I$158-2026)*12+'Annahmen'!$H$158-1)+1)=ROUND(('Annahmen'!$E$158)*12,0),(IF((0-(('Annahmen'!$I$158-2026)*12+'Annahmen'!$H$158-1)+1)=1,'Annahmen'!$C$158,0)),0),MIN('Annahmen'!$C$158/(MAX(ROUND(('Annahmen'!$E$158)*12,0)-('Annahmen'!$F$158)*12,1)),(IF((0-(('Annahmen'!$I$158-2026)*12+'Annahmen'!$H$158-1)+1)=1,'Annahmen'!$C$158,0)))))),0)</f>
      </c>
      <c r="N200" s="51">
        <f>IF(AND((0-(('Annahmen'!$I$159-2026)*12+'Annahmen'!$H$159-1)+1)&gt;=1,(0-(('Annahmen'!$I$159-2026)*12+'Annahmen'!$H$159-1)+1)&lt;=ROUND(('Annahmen'!$E$159)*12,0)),IF((0-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114,(IF((0-(('Annahmen'!$I$159-2026)*12+'Annahmen'!$H$159-1)+1)=1,'Annahmen'!$C$159,0))),IF('Annahmen'!$G$159="Endfällig",IF((0-(('Annahmen'!$I$159-2026)*12+'Annahmen'!$H$159-1)+1)=ROUND(('Annahmen'!$E$159)*12,0),(IF((0-(('Annahmen'!$I$159-2026)*12+'Annahmen'!$H$159-1)+1)=1,'Annahmen'!$C$159,0)),0),MIN('Annahmen'!$C$159/(MAX(ROUND(('Annahmen'!$E$159)*12,0)-('Annahmen'!$F$159)*12,1)),(IF((0-(('Annahmen'!$I$159-2026)*12+'Annahmen'!$H$159-1)+1)=1,'Annahmen'!$C$159,0)))))),0)</f>
      </c>
      <c r="O200" s="114">
        <f>SUM(C200:N200)</f>
      </c>
    </row>
    <row r="201" ht="15" customHeight="1" hidden="1" spans="2:15" x14ac:dyDescent="0.25" outlineLevel="1" collapsed="1">
      <c r="B201" s="113" t="s">
        <v>221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f>IF(AND((1-(('Annahmen'!$I$155-2026)*12+'Annahmen'!$H$155-1)+1)&gt;=1,(1-(('Annahmen'!$I$155-2026)*12+'Annahmen'!$H$155-1)+1)&lt;=ROUND(('Annahmen'!$E$155)*12,0)),IF((1-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115,(IF((1-(('Annahmen'!$I$155-2026)*12+'Annahmen'!$H$155-1)+1)=1,'Annahmen'!$C$155,J286))),IF('Annahmen'!$G$155="Endfällig",IF((1-(('Annahmen'!$I$155-2026)*12+'Annahmen'!$H$155-1)+1)=ROUND(('Annahmen'!$E$155)*12,0),(IF((1-(('Annahmen'!$I$155-2026)*12+'Annahmen'!$H$155-1)+1)=1,'Annahmen'!$C$155,J286)),0),MIN('Annahmen'!$C$155/(MAX(ROUND(('Annahmen'!$E$155)*12,0)-('Annahmen'!$F$155)*12,1)),(IF((1-(('Annahmen'!$I$155-2026)*12+'Annahmen'!$H$155-1)+1)=1,'Annahmen'!$C$155,J286)))))),0)</f>
      </c>
      <c r="K201" s="51">
        <f>IF(AND((1-(('Annahmen'!$I$156-2026)*12+'Annahmen'!$H$156-1)+1)&gt;=1,(1-(('Annahmen'!$I$156-2026)*12+'Annahmen'!$H$156-1)+1)&lt;=ROUND(('Annahmen'!$E$156)*12,0)),IF((1-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115,(IF((1-(('Annahmen'!$I$156-2026)*12+'Annahmen'!$H$156-1)+1)=1,'Annahmen'!$C$156,K286))),IF('Annahmen'!$G$156="Endfällig",IF((1-(('Annahmen'!$I$156-2026)*12+'Annahmen'!$H$156-1)+1)=ROUND(('Annahmen'!$E$156)*12,0),(IF((1-(('Annahmen'!$I$156-2026)*12+'Annahmen'!$H$156-1)+1)=1,'Annahmen'!$C$156,K286)),0),MIN('Annahmen'!$C$156/(MAX(ROUND(('Annahmen'!$E$156)*12,0)-('Annahmen'!$F$156)*12,1)),(IF((1-(('Annahmen'!$I$156-2026)*12+'Annahmen'!$H$156-1)+1)=1,'Annahmen'!$C$156,K286)))))),0)</f>
      </c>
      <c r="L201" s="51">
        <f>IF(AND((1-(('Annahmen'!$I$157-2026)*12+'Annahmen'!$H$157-1)+1)&gt;=1,(1-(('Annahmen'!$I$157-2026)*12+'Annahmen'!$H$157-1)+1)&lt;=ROUND(('Annahmen'!$E$157)*12,0)),IF((1-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115,(IF((1-(('Annahmen'!$I$157-2026)*12+'Annahmen'!$H$157-1)+1)=1,'Annahmen'!$C$157,L286))),IF('Annahmen'!$G$157="Endfällig",IF((1-(('Annahmen'!$I$157-2026)*12+'Annahmen'!$H$157-1)+1)=ROUND(('Annahmen'!$E$157)*12,0),(IF((1-(('Annahmen'!$I$157-2026)*12+'Annahmen'!$H$157-1)+1)=1,'Annahmen'!$C$157,L286)),0),MIN('Annahmen'!$C$157/(MAX(ROUND(('Annahmen'!$E$157)*12,0)-('Annahmen'!$F$157)*12,1)),(IF((1-(('Annahmen'!$I$157-2026)*12+'Annahmen'!$H$157-1)+1)=1,'Annahmen'!$C$157,L286)))))),0)</f>
      </c>
      <c r="M201" s="51">
        <f>IF(AND((1-(('Annahmen'!$I$158-2026)*12+'Annahmen'!$H$158-1)+1)&gt;=1,(1-(('Annahmen'!$I$158-2026)*12+'Annahmen'!$H$158-1)+1)&lt;=ROUND(('Annahmen'!$E$158)*12,0)),IF((1-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115,(IF((1-(('Annahmen'!$I$158-2026)*12+'Annahmen'!$H$158-1)+1)=1,'Annahmen'!$C$158,M286))),IF('Annahmen'!$G$158="Endfällig",IF((1-(('Annahmen'!$I$158-2026)*12+'Annahmen'!$H$158-1)+1)=ROUND(('Annahmen'!$E$158)*12,0),(IF((1-(('Annahmen'!$I$158-2026)*12+'Annahmen'!$H$158-1)+1)=1,'Annahmen'!$C$158,M286)),0),MIN('Annahmen'!$C$158/(MAX(ROUND(('Annahmen'!$E$158)*12,0)-('Annahmen'!$F$158)*12,1)),(IF((1-(('Annahmen'!$I$158-2026)*12+'Annahmen'!$H$158-1)+1)=1,'Annahmen'!$C$158,M286)))))),0)</f>
      </c>
      <c r="N201" s="51">
        <f>IF(AND((1-(('Annahmen'!$I$159-2026)*12+'Annahmen'!$H$159-1)+1)&gt;=1,(1-(('Annahmen'!$I$159-2026)*12+'Annahmen'!$H$159-1)+1)&lt;=ROUND(('Annahmen'!$E$159)*12,0)),IF((1-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115,(IF((1-(('Annahmen'!$I$159-2026)*12+'Annahmen'!$H$159-1)+1)=1,'Annahmen'!$C$159,N286))),IF('Annahmen'!$G$159="Endfällig",IF((1-(('Annahmen'!$I$159-2026)*12+'Annahmen'!$H$159-1)+1)=ROUND(('Annahmen'!$E$159)*12,0),(IF((1-(('Annahmen'!$I$159-2026)*12+'Annahmen'!$H$159-1)+1)=1,'Annahmen'!$C$159,N286)),0),MIN('Annahmen'!$C$159/(MAX(ROUND(('Annahmen'!$E$159)*12,0)-('Annahmen'!$F$159)*12,1)),(IF((1-(('Annahmen'!$I$159-2026)*12+'Annahmen'!$H$159-1)+1)=1,'Annahmen'!$C$159,N286)))))),0)</f>
      </c>
      <c r="O201" s="114">
        <f>SUM(C201:N201)</f>
      </c>
    </row>
    <row r="202" ht="15" customHeight="1" hidden="1" spans="2:15" x14ac:dyDescent="0.25" outlineLevel="1" collapsed="1">
      <c r="B202" s="113" t="s">
        <v>222</v>
      </c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0</v>
      </c>
      <c r="I202" s="51">
        <v>0</v>
      </c>
      <c r="J202" s="51">
        <f>IF(AND((2-(('Annahmen'!$I$155-2026)*12+'Annahmen'!$H$155-1)+1)&gt;=1,(2-(('Annahmen'!$I$155-2026)*12+'Annahmen'!$H$155-1)+1)&lt;=ROUND(('Annahmen'!$E$155)*12,0)),IF((2-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116,(IF((2-(('Annahmen'!$I$155-2026)*12+'Annahmen'!$H$155-1)+1)=1,'Annahmen'!$C$155,J287))),IF('Annahmen'!$G$155="Endfällig",IF((2-(('Annahmen'!$I$155-2026)*12+'Annahmen'!$H$155-1)+1)=ROUND(('Annahmen'!$E$155)*12,0),(IF((2-(('Annahmen'!$I$155-2026)*12+'Annahmen'!$H$155-1)+1)=1,'Annahmen'!$C$155,J287)),0),MIN('Annahmen'!$C$155/(MAX(ROUND(('Annahmen'!$E$155)*12,0)-('Annahmen'!$F$155)*12,1)),(IF((2-(('Annahmen'!$I$155-2026)*12+'Annahmen'!$H$155-1)+1)=1,'Annahmen'!$C$155,J287)))))),0)</f>
      </c>
      <c r="K202" s="51">
        <f>IF(AND((2-(('Annahmen'!$I$156-2026)*12+'Annahmen'!$H$156-1)+1)&gt;=1,(2-(('Annahmen'!$I$156-2026)*12+'Annahmen'!$H$156-1)+1)&lt;=ROUND(('Annahmen'!$E$156)*12,0)),IF((2-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116,(IF((2-(('Annahmen'!$I$156-2026)*12+'Annahmen'!$H$156-1)+1)=1,'Annahmen'!$C$156,K287))),IF('Annahmen'!$G$156="Endfällig",IF((2-(('Annahmen'!$I$156-2026)*12+'Annahmen'!$H$156-1)+1)=ROUND(('Annahmen'!$E$156)*12,0),(IF((2-(('Annahmen'!$I$156-2026)*12+'Annahmen'!$H$156-1)+1)=1,'Annahmen'!$C$156,K287)),0),MIN('Annahmen'!$C$156/(MAX(ROUND(('Annahmen'!$E$156)*12,0)-('Annahmen'!$F$156)*12,1)),(IF((2-(('Annahmen'!$I$156-2026)*12+'Annahmen'!$H$156-1)+1)=1,'Annahmen'!$C$156,K287)))))),0)</f>
      </c>
      <c r="L202" s="51">
        <f>IF(AND((2-(('Annahmen'!$I$157-2026)*12+'Annahmen'!$H$157-1)+1)&gt;=1,(2-(('Annahmen'!$I$157-2026)*12+'Annahmen'!$H$157-1)+1)&lt;=ROUND(('Annahmen'!$E$157)*12,0)),IF((2-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116,(IF((2-(('Annahmen'!$I$157-2026)*12+'Annahmen'!$H$157-1)+1)=1,'Annahmen'!$C$157,L287))),IF('Annahmen'!$G$157="Endfällig",IF((2-(('Annahmen'!$I$157-2026)*12+'Annahmen'!$H$157-1)+1)=ROUND(('Annahmen'!$E$157)*12,0),(IF((2-(('Annahmen'!$I$157-2026)*12+'Annahmen'!$H$157-1)+1)=1,'Annahmen'!$C$157,L287)),0),MIN('Annahmen'!$C$157/(MAX(ROUND(('Annahmen'!$E$157)*12,0)-('Annahmen'!$F$157)*12,1)),(IF((2-(('Annahmen'!$I$157-2026)*12+'Annahmen'!$H$157-1)+1)=1,'Annahmen'!$C$157,L287)))))),0)</f>
      </c>
      <c r="M202" s="51">
        <f>IF(AND((2-(('Annahmen'!$I$158-2026)*12+'Annahmen'!$H$158-1)+1)&gt;=1,(2-(('Annahmen'!$I$158-2026)*12+'Annahmen'!$H$158-1)+1)&lt;=ROUND(('Annahmen'!$E$158)*12,0)),IF((2-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116,(IF((2-(('Annahmen'!$I$158-2026)*12+'Annahmen'!$H$158-1)+1)=1,'Annahmen'!$C$158,M287))),IF('Annahmen'!$G$158="Endfällig",IF((2-(('Annahmen'!$I$158-2026)*12+'Annahmen'!$H$158-1)+1)=ROUND(('Annahmen'!$E$158)*12,0),(IF((2-(('Annahmen'!$I$158-2026)*12+'Annahmen'!$H$158-1)+1)=1,'Annahmen'!$C$158,M287)),0),MIN('Annahmen'!$C$158/(MAX(ROUND(('Annahmen'!$E$158)*12,0)-('Annahmen'!$F$158)*12,1)),(IF((2-(('Annahmen'!$I$158-2026)*12+'Annahmen'!$H$158-1)+1)=1,'Annahmen'!$C$158,M287)))))),0)</f>
      </c>
      <c r="N202" s="51">
        <f>IF(AND((2-(('Annahmen'!$I$159-2026)*12+'Annahmen'!$H$159-1)+1)&gt;=1,(2-(('Annahmen'!$I$159-2026)*12+'Annahmen'!$H$159-1)+1)&lt;=ROUND(('Annahmen'!$E$159)*12,0)),IF((2-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116,(IF((2-(('Annahmen'!$I$159-2026)*12+'Annahmen'!$H$159-1)+1)=1,'Annahmen'!$C$159,N287))),IF('Annahmen'!$G$159="Endfällig",IF((2-(('Annahmen'!$I$159-2026)*12+'Annahmen'!$H$159-1)+1)=ROUND(('Annahmen'!$E$159)*12,0),(IF((2-(('Annahmen'!$I$159-2026)*12+'Annahmen'!$H$159-1)+1)=1,'Annahmen'!$C$159,N287)),0),MIN('Annahmen'!$C$159/(MAX(ROUND(('Annahmen'!$E$159)*12,0)-('Annahmen'!$F$159)*12,1)),(IF((2-(('Annahmen'!$I$159-2026)*12+'Annahmen'!$H$159-1)+1)=1,'Annahmen'!$C$159,N287)))))),0)</f>
      </c>
      <c r="O202" s="114">
        <f>SUM(C202:N202)</f>
      </c>
    </row>
    <row r="203" ht="15" customHeight="1" hidden="1" spans="2:15" x14ac:dyDescent="0.25" outlineLevel="1" collapsed="1">
      <c r="B203" s="113" t="s">
        <v>223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f>IF(AND((3-(('Annahmen'!$I$155-2026)*12+'Annahmen'!$H$155-1)+1)&gt;=1,(3-(('Annahmen'!$I$155-2026)*12+'Annahmen'!$H$155-1)+1)&lt;=ROUND(('Annahmen'!$E$155)*12,0)),IF((3-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117,(IF((3-(('Annahmen'!$I$155-2026)*12+'Annahmen'!$H$155-1)+1)=1,'Annahmen'!$C$155,J288))),IF('Annahmen'!$G$155="Endfällig",IF((3-(('Annahmen'!$I$155-2026)*12+'Annahmen'!$H$155-1)+1)=ROUND(('Annahmen'!$E$155)*12,0),(IF((3-(('Annahmen'!$I$155-2026)*12+'Annahmen'!$H$155-1)+1)=1,'Annahmen'!$C$155,J288)),0),MIN('Annahmen'!$C$155/(MAX(ROUND(('Annahmen'!$E$155)*12,0)-('Annahmen'!$F$155)*12,1)),(IF((3-(('Annahmen'!$I$155-2026)*12+'Annahmen'!$H$155-1)+1)=1,'Annahmen'!$C$155,J288)))))),0)</f>
      </c>
      <c r="K203" s="51">
        <f>IF(AND((3-(('Annahmen'!$I$156-2026)*12+'Annahmen'!$H$156-1)+1)&gt;=1,(3-(('Annahmen'!$I$156-2026)*12+'Annahmen'!$H$156-1)+1)&lt;=ROUND(('Annahmen'!$E$156)*12,0)),IF((3-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117,(IF((3-(('Annahmen'!$I$156-2026)*12+'Annahmen'!$H$156-1)+1)=1,'Annahmen'!$C$156,K288))),IF('Annahmen'!$G$156="Endfällig",IF((3-(('Annahmen'!$I$156-2026)*12+'Annahmen'!$H$156-1)+1)=ROUND(('Annahmen'!$E$156)*12,0),(IF((3-(('Annahmen'!$I$156-2026)*12+'Annahmen'!$H$156-1)+1)=1,'Annahmen'!$C$156,K288)),0),MIN('Annahmen'!$C$156/(MAX(ROUND(('Annahmen'!$E$156)*12,0)-('Annahmen'!$F$156)*12,1)),(IF((3-(('Annahmen'!$I$156-2026)*12+'Annahmen'!$H$156-1)+1)=1,'Annahmen'!$C$156,K288)))))),0)</f>
      </c>
      <c r="L203" s="51">
        <f>IF(AND((3-(('Annahmen'!$I$157-2026)*12+'Annahmen'!$H$157-1)+1)&gt;=1,(3-(('Annahmen'!$I$157-2026)*12+'Annahmen'!$H$157-1)+1)&lt;=ROUND(('Annahmen'!$E$157)*12,0)),IF((3-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117,(IF((3-(('Annahmen'!$I$157-2026)*12+'Annahmen'!$H$157-1)+1)=1,'Annahmen'!$C$157,L288))),IF('Annahmen'!$G$157="Endfällig",IF((3-(('Annahmen'!$I$157-2026)*12+'Annahmen'!$H$157-1)+1)=ROUND(('Annahmen'!$E$157)*12,0),(IF((3-(('Annahmen'!$I$157-2026)*12+'Annahmen'!$H$157-1)+1)=1,'Annahmen'!$C$157,L288)),0),MIN('Annahmen'!$C$157/(MAX(ROUND(('Annahmen'!$E$157)*12,0)-('Annahmen'!$F$157)*12,1)),(IF((3-(('Annahmen'!$I$157-2026)*12+'Annahmen'!$H$157-1)+1)=1,'Annahmen'!$C$157,L288)))))),0)</f>
      </c>
      <c r="M203" s="51">
        <f>IF(AND((3-(('Annahmen'!$I$158-2026)*12+'Annahmen'!$H$158-1)+1)&gt;=1,(3-(('Annahmen'!$I$158-2026)*12+'Annahmen'!$H$158-1)+1)&lt;=ROUND(('Annahmen'!$E$158)*12,0)),IF((3-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117,(IF((3-(('Annahmen'!$I$158-2026)*12+'Annahmen'!$H$158-1)+1)=1,'Annahmen'!$C$158,M288))),IF('Annahmen'!$G$158="Endfällig",IF((3-(('Annahmen'!$I$158-2026)*12+'Annahmen'!$H$158-1)+1)=ROUND(('Annahmen'!$E$158)*12,0),(IF((3-(('Annahmen'!$I$158-2026)*12+'Annahmen'!$H$158-1)+1)=1,'Annahmen'!$C$158,M288)),0),MIN('Annahmen'!$C$158/(MAX(ROUND(('Annahmen'!$E$158)*12,0)-('Annahmen'!$F$158)*12,1)),(IF((3-(('Annahmen'!$I$158-2026)*12+'Annahmen'!$H$158-1)+1)=1,'Annahmen'!$C$158,M288)))))),0)</f>
      </c>
      <c r="N203" s="51">
        <f>IF(AND((3-(('Annahmen'!$I$159-2026)*12+'Annahmen'!$H$159-1)+1)&gt;=1,(3-(('Annahmen'!$I$159-2026)*12+'Annahmen'!$H$159-1)+1)&lt;=ROUND(('Annahmen'!$E$159)*12,0)),IF((3-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117,(IF((3-(('Annahmen'!$I$159-2026)*12+'Annahmen'!$H$159-1)+1)=1,'Annahmen'!$C$159,N288))),IF('Annahmen'!$G$159="Endfällig",IF((3-(('Annahmen'!$I$159-2026)*12+'Annahmen'!$H$159-1)+1)=ROUND(('Annahmen'!$E$159)*12,0),(IF((3-(('Annahmen'!$I$159-2026)*12+'Annahmen'!$H$159-1)+1)=1,'Annahmen'!$C$159,N288)),0),MIN('Annahmen'!$C$159/(MAX(ROUND(('Annahmen'!$E$159)*12,0)-('Annahmen'!$F$159)*12,1)),(IF((3-(('Annahmen'!$I$159-2026)*12+'Annahmen'!$H$159-1)+1)=1,'Annahmen'!$C$159,N288)))))),0)</f>
      </c>
      <c r="O203" s="114">
        <f>SUM(C203:N203)</f>
      </c>
    </row>
    <row r="204" ht="15" customHeight="1" hidden="1" spans="2:15" x14ac:dyDescent="0.25" outlineLevel="1" collapsed="1">
      <c r="B204" s="113" t="s">
        <v>224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f>IF(AND((4-(('Annahmen'!$I$155-2026)*12+'Annahmen'!$H$155-1)+1)&gt;=1,(4-(('Annahmen'!$I$155-2026)*12+'Annahmen'!$H$155-1)+1)&lt;=ROUND(('Annahmen'!$E$155)*12,0)),IF((4-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118,(IF((4-(('Annahmen'!$I$155-2026)*12+'Annahmen'!$H$155-1)+1)=1,'Annahmen'!$C$155,J289))),IF('Annahmen'!$G$155="Endfällig",IF((4-(('Annahmen'!$I$155-2026)*12+'Annahmen'!$H$155-1)+1)=ROUND(('Annahmen'!$E$155)*12,0),(IF((4-(('Annahmen'!$I$155-2026)*12+'Annahmen'!$H$155-1)+1)=1,'Annahmen'!$C$155,J289)),0),MIN('Annahmen'!$C$155/(MAX(ROUND(('Annahmen'!$E$155)*12,0)-('Annahmen'!$F$155)*12,1)),(IF((4-(('Annahmen'!$I$155-2026)*12+'Annahmen'!$H$155-1)+1)=1,'Annahmen'!$C$155,J289)))))),0)</f>
      </c>
      <c r="K204" s="51">
        <f>IF(AND((4-(('Annahmen'!$I$156-2026)*12+'Annahmen'!$H$156-1)+1)&gt;=1,(4-(('Annahmen'!$I$156-2026)*12+'Annahmen'!$H$156-1)+1)&lt;=ROUND(('Annahmen'!$E$156)*12,0)),IF((4-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118,(IF((4-(('Annahmen'!$I$156-2026)*12+'Annahmen'!$H$156-1)+1)=1,'Annahmen'!$C$156,K289))),IF('Annahmen'!$G$156="Endfällig",IF((4-(('Annahmen'!$I$156-2026)*12+'Annahmen'!$H$156-1)+1)=ROUND(('Annahmen'!$E$156)*12,0),(IF((4-(('Annahmen'!$I$156-2026)*12+'Annahmen'!$H$156-1)+1)=1,'Annahmen'!$C$156,K289)),0),MIN('Annahmen'!$C$156/(MAX(ROUND(('Annahmen'!$E$156)*12,0)-('Annahmen'!$F$156)*12,1)),(IF((4-(('Annahmen'!$I$156-2026)*12+'Annahmen'!$H$156-1)+1)=1,'Annahmen'!$C$156,K289)))))),0)</f>
      </c>
      <c r="L204" s="51">
        <f>IF(AND((4-(('Annahmen'!$I$157-2026)*12+'Annahmen'!$H$157-1)+1)&gt;=1,(4-(('Annahmen'!$I$157-2026)*12+'Annahmen'!$H$157-1)+1)&lt;=ROUND(('Annahmen'!$E$157)*12,0)),IF((4-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118,(IF((4-(('Annahmen'!$I$157-2026)*12+'Annahmen'!$H$157-1)+1)=1,'Annahmen'!$C$157,L289))),IF('Annahmen'!$G$157="Endfällig",IF((4-(('Annahmen'!$I$157-2026)*12+'Annahmen'!$H$157-1)+1)=ROUND(('Annahmen'!$E$157)*12,0),(IF((4-(('Annahmen'!$I$157-2026)*12+'Annahmen'!$H$157-1)+1)=1,'Annahmen'!$C$157,L289)),0),MIN('Annahmen'!$C$157/(MAX(ROUND(('Annahmen'!$E$157)*12,0)-('Annahmen'!$F$157)*12,1)),(IF((4-(('Annahmen'!$I$157-2026)*12+'Annahmen'!$H$157-1)+1)=1,'Annahmen'!$C$157,L289)))))),0)</f>
      </c>
      <c r="M204" s="51">
        <f>IF(AND((4-(('Annahmen'!$I$158-2026)*12+'Annahmen'!$H$158-1)+1)&gt;=1,(4-(('Annahmen'!$I$158-2026)*12+'Annahmen'!$H$158-1)+1)&lt;=ROUND(('Annahmen'!$E$158)*12,0)),IF((4-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118,(IF((4-(('Annahmen'!$I$158-2026)*12+'Annahmen'!$H$158-1)+1)=1,'Annahmen'!$C$158,M289))),IF('Annahmen'!$G$158="Endfällig",IF((4-(('Annahmen'!$I$158-2026)*12+'Annahmen'!$H$158-1)+1)=ROUND(('Annahmen'!$E$158)*12,0),(IF((4-(('Annahmen'!$I$158-2026)*12+'Annahmen'!$H$158-1)+1)=1,'Annahmen'!$C$158,M289)),0),MIN('Annahmen'!$C$158/(MAX(ROUND(('Annahmen'!$E$158)*12,0)-('Annahmen'!$F$158)*12,1)),(IF((4-(('Annahmen'!$I$158-2026)*12+'Annahmen'!$H$158-1)+1)=1,'Annahmen'!$C$158,M289)))))),0)</f>
      </c>
      <c r="N204" s="51">
        <f>IF(AND((4-(('Annahmen'!$I$159-2026)*12+'Annahmen'!$H$159-1)+1)&gt;=1,(4-(('Annahmen'!$I$159-2026)*12+'Annahmen'!$H$159-1)+1)&lt;=ROUND(('Annahmen'!$E$159)*12,0)),IF((4-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118,(IF((4-(('Annahmen'!$I$159-2026)*12+'Annahmen'!$H$159-1)+1)=1,'Annahmen'!$C$159,N289))),IF('Annahmen'!$G$159="Endfällig",IF((4-(('Annahmen'!$I$159-2026)*12+'Annahmen'!$H$159-1)+1)=ROUND(('Annahmen'!$E$159)*12,0),(IF((4-(('Annahmen'!$I$159-2026)*12+'Annahmen'!$H$159-1)+1)=1,'Annahmen'!$C$159,N289)),0),MIN('Annahmen'!$C$159/(MAX(ROUND(('Annahmen'!$E$159)*12,0)-('Annahmen'!$F$159)*12,1)),(IF((4-(('Annahmen'!$I$159-2026)*12+'Annahmen'!$H$159-1)+1)=1,'Annahmen'!$C$159,N289)))))),0)</f>
      </c>
      <c r="O204" s="114">
        <f>SUM(C204:N204)</f>
      </c>
    </row>
    <row r="205" ht="15" customHeight="1" hidden="1" spans="2:15" x14ac:dyDescent="0.25" outlineLevel="1" collapsed="1">
      <c r="B205" s="113" t="s">
        <v>225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f>IF(AND((5-(('Annahmen'!$I$155-2026)*12+'Annahmen'!$H$155-1)+1)&gt;=1,(5-(('Annahmen'!$I$155-2026)*12+'Annahmen'!$H$155-1)+1)&lt;=ROUND(('Annahmen'!$E$155)*12,0)),IF((5-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119,(IF((5-(('Annahmen'!$I$155-2026)*12+'Annahmen'!$H$155-1)+1)=1,'Annahmen'!$C$155,J290))),IF('Annahmen'!$G$155="Endfällig",IF((5-(('Annahmen'!$I$155-2026)*12+'Annahmen'!$H$155-1)+1)=ROUND(('Annahmen'!$E$155)*12,0),(IF((5-(('Annahmen'!$I$155-2026)*12+'Annahmen'!$H$155-1)+1)=1,'Annahmen'!$C$155,J290)),0),MIN('Annahmen'!$C$155/(MAX(ROUND(('Annahmen'!$E$155)*12,0)-('Annahmen'!$F$155)*12,1)),(IF((5-(('Annahmen'!$I$155-2026)*12+'Annahmen'!$H$155-1)+1)=1,'Annahmen'!$C$155,J290)))))),0)</f>
      </c>
      <c r="K205" s="51">
        <f>IF(AND((5-(('Annahmen'!$I$156-2026)*12+'Annahmen'!$H$156-1)+1)&gt;=1,(5-(('Annahmen'!$I$156-2026)*12+'Annahmen'!$H$156-1)+1)&lt;=ROUND(('Annahmen'!$E$156)*12,0)),IF((5-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119,(IF((5-(('Annahmen'!$I$156-2026)*12+'Annahmen'!$H$156-1)+1)=1,'Annahmen'!$C$156,K290))),IF('Annahmen'!$G$156="Endfällig",IF((5-(('Annahmen'!$I$156-2026)*12+'Annahmen'!$H$156-1)+1)=ROUND(('Annahmen'!$E$156)*12,0),(IF((5-(('Annahmen'!$I$156-2026)*12+'Annahmen'!$H$156-1)+1)=1,'Annahmen'!$C$156,K290)),0),MIN('Annahmen'!$C$156/(MAX(ROUND(('Annahmen'!$E$156)*12,0)-('Annahmen'!$F$156)*12,1)),(IF((5-(('Annahmen'!$I$156-2026)*12+'Annahmen'!$H$156-1)+1)=1,'Annahmen'!$C$156,K290)))))),0)</f>
      </c>
      <c r="L205" s="51">
        <f>IF(AND((5-(('Annahmen'!$I$157-2026)*12+'Annahmen'!$H$157-1)+1)&gt;=1,(5-(('Annahmen'!$I$157-2026)*12+'Annahmen'!$H$157-1)+1)&lt;=ROUND(('Annahmen'!$E$157)*12,0)),IF((5-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119,(IF((5-(('Annahmen'!$I$157-2026)*12+'Annahmen'!$H$157-1)+1)=1,'Annahmen'!$C$157,L290))),IF('Annahmen'!$G$157="Endfällig",IF((5-(('Annahmen'!$I$157-2026)*12+'Annahmen'!$H$157-1)+1)=ROUND(('Annahmen'!$E$157)*12,0),(IF((5-(('Annahmen'!$I$157-2026)*12+'Annahmen'!$H$157-1)+1)=1,'Annahmen'!$C$157,L290)),0),MIN('Annahmen'!$C$157/(MAX(ROUND(('Annahmen'!$E$157)*12,0)-('Annahmen'!$F$157)*12,1)),(IF((5-(('Annahmen'!$I$157-2026)*12+'Annahmen'!$H$157-1)+1)=1,'Annahmen'!$C$157,L290)))))),0)</f>
      </c>
      <c r="M205" s="51">
        <f>IF(AND((5-(('Annahmen'!$I$158-2026)*12+'Annahmen'!$H$158-1)+1)&gt;=1,(5-(('Annahmen'!$I$158-2026)*12+'Annahmen'!$H$158-1)+1)&lt;=ROUND(('Annahmen'!$E$158)*12,0)),IF((5-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119,(IF((5-(('Annahmen'!$I$158-2026)*12+'Annahmen'!$H$158-1)+1)=1,'Annahmen'!$C$158,M290))),IF('Annahmen'!$G$158="Endfällig",IF((5-(('Annahmen'!$I$158-2026)*12+'Annahmen'!$H$158-1)+1)=ROUND(('Annahmen'!$E$158)*12,0),(IF((5-(('Annahmen'!$I$158-2026)*12+'Annahmen'!$H$158-1)+1)=1,'Annahmen'!$C$158,M290)),0),MIN('Annahmen'!$C$158/(MAX(ROUND(('Annahmen'!$E$158)*12,0)-('Annahmen'!$F$158)*12,1)),(IF((5-(('Annahmen'!$I$158-2026)*12+'Annahmen'!$H$158-1)+1)=1,'Annahmen'!$C$158,M290)))))),0)</f>
      </c>
      <c r="N205" s="51">
        <f>IF(AND((5-(('Annahmen'!$I$159-2026)*12+'Annahmen'!$H$159-1)+1)&gt;=1,(5-(('Annahmen'!$I$159-2026)*12+'Annahmen'!$H$159-1)+1)&lt;=ROUND(('Annahmen'!$E$159)*12,0)),IF((5-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119,(IF((5-(('Annahmen'!$I$159-2026)*12+'Annahmen'!$H$159-1)+1)=1,'Annahmen'!$C$159,N290))),IF('Annahmen'!$G$159="Endfällig",IF((5-(('Annahmen'!$I$159-2026)*12+'Annahmen'!$H$159-1)+1)=ROUND(('Annahmen'!$E$159)*12,0),(IF((5-(('Annahmen'!$I$159-2026)*12+'Annahmen'!$H$159-1)+1)=1,'Annahmen'!$C$159,N290)),0),MIN('Annahmen'!$C$159/(MAX(ROUND(('Annahmen'!$E$159)*12,0)-('Annahmen'!$F$159)*12,1)),(IF((5-(('Annahmen'!$I$159-2026)*12+'Annahmen'!$H$159-1)+1)=1,'Annahmen'!$C$159,N290)))))),0)</f>
      </c>
      <c r="O205" s="114">
        <f>SUM(C205:N205)</f>
      </c>
    </row>
    <row r="206" ht="15" customHeight="1" hidden="1" spans="2:15" x14ac:dyDescent="0.25" outlineLevel="1" collapsed="1">
      <c r="B206" s="113" t="s">
        <v>226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f>IF(AND((6-(('Annahmen'!$I$155-2026)*12+'Annahmen'!$H$155-1)+1)&gt;=1,(6-(('Annahmen'!$I$155-2026)*12+'Annahmen'!$H$155-1)+1)&lt;=ROUND(('Annahmen'!$E$155)*12,0)),IF((6-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120,(IF((6-(('Annahmen'!$I$155-2026)*12+'Annahmen'!$H$155-1)+1)=1,'Annahmen'!$C$155,J291))),IF('Annahmen'!$G$155="Endfällig",IF((6-(('Annahmen'!$I$155-2026)*12+'Annahmen'!$H$155-1)+1)=ROUND(('Annahmen'!$E$155)*12,0),(IF((6-(('Annahmen'!$I$155-2026)*12+'Annahmen'!$H$155-1)+1)=1,'Annahmen'!$C$155,J291)),0),MIN('Annahmen'!$C$155/(MAX(ROUND(('Annahmen'!$E$155)*12,0)-('Annahmen'!$F$155)*12,1)),(IF((6-(('Annahmen'!$I$155-2026)*12+'Annahmen'!$H$155-1)+1)=1,'Annahmen'!$C$155,J291)))))),0)</f>
      </c>
      <c r="K206" s="51">
        <f>IF(AND((6-(('Annahmen'!$I$156-2026)*12+'Annahmen'!$H$156-1)+1)&gt;=1,(6-(('Annahmen'!$I$156-2026)*12+'Annahmen'!$H$156-1)+1)&lt;=ROUND(('Annahmen'!$E$156)*12,0)),IF((6-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120,(IF((6-(('Annahmen'!$I$156-2026)*12+'Annahmen'!$H$156-1)+1)=1,'Annahmen'!$C$156,K291))),IF('Annahmen'!$G$156="Endfällig",IF((6-(('Annahmen'!$I$156-2026)*12+'Annahmen'!$H$156-1)+1)=ROUND(('Annahmen'!$E$156)*12,0),(IF((6-(('Annahmen'!$I$156-2026)*12+'Annahmen'!$H$156-1)+1)=1,'Annahmen'!$C$156,K291)),0),MIN('Annahmen'!$C$156/(MAX(ROUND(('Annahmen'!$E$156)*12,0)-('Annahmen'!$F$156)*12,1)),(IF((6-(('Annahmen'!$I$156-2026)*12+'Annahmen'!$H$156-1)+1)=1,'Annahmen'!$C$156,K291)))))),0)</f>
      </c>
      <c r="L206" s="51">
        <f>IF(AND((6-(('Annahmen'!$I$157-2026)*12+'Annahmen'!$H$157-1)+1)&gt;=1,(6-(('Annahmen'!$I$157-2026)*12+'Annahmen'!$H$157-1)+1)&lt;=ROUND(('Annahmen'!$E$157)*12,0)),IF((6-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120,(IF((6-(('Annahmen'!$I$157-2026)*12+'Annahmen'!$H$157-1)+1)=1,'Annahmen'!$C$157,L291))),IF('Annahmen'!$G$157="Endfällig",IF((6-(('Annahmen'!$I$157-2026)*12+'Annahmen'!$H$157-1)+1)=ROUND(('Annahmen'!$E$157)*12,0),(IF((6-(('Annahmen'!$I$157-2026)*12+'Annahmen'!$H$157-1)+1)=1,'Annahmen'!$C$157,L291)),0),MIN('Annahmen'!$C$157/(MAX(ROUND(('Annahmen'!$E$157)*12,0)-('Annahmen'!$F$157)*12,1)),(IF((6-(('Annahmen'!$I$157-2026)*12+'Annahmen'!$H$157-1)+1)=1,'Annahmen'!$C$157,L291)))))),0)</f>
      </c>
      <c r="M206" s="51">
        <f>IF(AND((6-(('Annahmen'!$I$158-2026)*12+'Annahmen'!$H$158-1)+1)&gt;=1,(6-(('Annahmen'!$I$158-2026)*12+'Annahmen'!$H$158-1)+1)&lt;=ROUND(('Annahmen'!$E$158)*12,0)),IF((6-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120,(IF((6-(('Annahmen'!$I$158-2026)*12+'Annahmen'!$H$158-1)+1)=1,'Annahmen'!$C$158,M291))),IF('Annahmen'!$G$158="Endfällig",IF((6-(('Annahmen'!$I$158-2026)*12+'Annahmen'!$H$158-1)+1)=ROUND(('Annahmen'!$E$158)*12,0),(IF((6-(('Annahmen'!$I$158-2026)*12+'Annahmen'!$H$158-1)+1)=1,'Annahmen'!$C$158,M291)),0),MIN('Annahmen'!$C$158/(MAX(ROUND(('Annahmen'!$E$158)*12,0)-('Annahmen'!$F$158)*12,1)),(IF((6-(('Annahmen'!$I$158-2026)*12+'Annahmen'!$H$158-1)+1)=1,'Annahmen'!$C$158,M291)))))),0)</f>
      </c>
      <c r="N206" s="51">
        <f>IF(AND((6-(('Annahmen'!$I$159-2026)*12+'Annahmen'!$H$159-1)+1)&gt;=1,(6-(('Annahmen'!$I$159-2026)*12+'Annahmen'!$H$159-1)+1)&lt;=ROUND(('Annahmen'!$E$159)*12,0)),IF((6-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120,(IF((6-(('Annahmen'!$I$159-2026)*12+'Annahmen'!$H$159-1)+1)=1,'Annahmen'!$C$159,N291))),IF('Annahmen'!$G$159="Endfällig",IF((6-(('Annahmen'!$I$159-2026)*12+'Annahmen'!$H$159-1)+1)=ROUND(('Annahmen'!$E$159)*12,0),(IF((6-(('Annahmen'!$I$159-2026)*12+'Annahmen'!$H$159-1)+1)=1,'Annahmen'!$C$159,N291)),0),MIN('Annahmen'!$C$159/(MAX(ROUND(('Annahmen'!$E$159)*12,0)-('Annahmen'!$F$159)*12,1)),(IF((6-(('Annahmen'!$I$159-2026)*12+'Annahmen'!$H$159-1)+1)=1,'Annahmen'!$C$159,N291)))))),0)</f>
      </c>
      <c r="O206" s="114">
        <f>SUM(C206:N206)</f>
      </c>
    </row>
    <row r="207" ht="15" customHeight="1" hidden="1" spans="2:15" x14ac:dyDescent="0.25" outlineLevel="1" collapsed="1">
      <c r="B207" s="113" t="s">
        <v>227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f>IF(AND((7-(('Annahmen'!$I$155-2026)*12+'Annahmen'!$H$155-1)+1)&gt;=1,(7-(('Annahmen'!$I$155-2026)*12+'Annahmen'!$H$155-1)+1)&lt;=ROUND(('Annahmen'!$E$155)*12,0)),IF((7-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121,(IF((7-(('Annahmen'!$I$155-2026)*12+'Annahmen'!$H$155-1)+1)=1,'Annahmen'!$C$155,J292))),IF('Annahmen'!$G$155="Endfällig",IF((7-(('Annahmen'!$I$155-2026)*12+'Annahmen'!$H$155-1)+1)=ROUND(('Annahmen'!$E$155)*12,0),(IF((7-(('Annahmen'!$I$155-2026)*12+'Annahmen'!$H$155-1)+1)=1,'Annahmen'!$C$155,J292)),0),MIN('Annahmen'!$C$155/(MAX(ROUND(('Annahmen'!$E$155)*12,0)-('Annahmen'!$F$155)*12,1)),(IF((7-(('Annahmen'!$I$155-2026)*12+'Annahmen'!$H$155-1)+1)=1,'Annahmen'!$C$155,J292)))))),0)</f>
      </c>
      <c r="K207" s="51">
        <f>IF(AND((7-(('Annahmen'!$I$156-2026)*12+'Annahmen'!$H$156-1)+1)&gt;=1,(7-(('Annahmen'!$I$156-2026)*12+'Annahmen'!$H$156-1)+1)&lt;=ROUND(('Annahmen'!$E$156)*12,0)),IF((7-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121,(IF((7-(('Annahmen'!$I$156-2026)*12+'Annahmen'!$H$156-1)+1)=1,'Annahmen'!$C$156,K292))),IF('Annahmen'!$G$156="Endfällig",IF((7-(('Annahmen'!$I$156-2026)*12+'Annahmen'!$H$156-1)+1)=ROUND(('Annahmen'!$E$156)*12,0),(IF((7-(('Annahmen'!$I$156-2026)*12+'Annahmen'!$H$156-1)+1)=1,'Annahmen'!$C$156,K292)),0),MIN('Annahmen'!$C$156/(MAX(ROUND(('Annahmen'!$E$156)*12,0)-('Annahmen'!$F$156)*12,1)),(IF((7-(('Annahmen'!$I$156-2026)*12+'Annahmen'!$H$156-1)+1)=1,'Annahmen'!$C$156,K292)))))),0)</f>
      </c>
      <c r="L207" s="51">
        <f>IF(AND((7-(('Annahmen'!$I$157-2026)*12+'Annahmen'!$H$157-1)+1)&gt;=1,(7-(('Annahmen'!$I$157-2026)*12+'Annahmen'!$H$157-1)+1)&lt;=ROUND(('Annahmen'!$E$157)*12,0)),IF((7-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121,(IF((7-(('Annahmen'!$I$157-2026)*12+'Annahmen'!$H$157-1)+1)=1,'Annahmen'!$C$157,L292))),IF('Annahmen'!$G$157="Endfällig",IF((7-(('Annahmen'!$I$157-2026)*12+'Annahmen'!$H$157-1)+1)=ROUND(('Annahmen'!$E$157)*12,0),(IF((7-(('Annahmen'!$I$157-2026)*12+'Annahmen'!$H$157-1)+1)=1,'Annahmen'!$C$157,L292)),0),MIN('Annahmen'!$C$157/(MAX(ROUND(('Annahmen'!$E$157)*12,0)-('Annahmen'!$F$157)*12,1)),(IF((7-(('Annahmen'!$I$157-2026)*12+'Annahmen'!$H$157-1)+1)=1,'Annahmen'!$C$157,L292)))))),0)</f>
      </c>
      <c r="M207" s="51">
        <f>IF(AND((7-(('Annahmen'!$I$158-2026)*12+'Annahmen'!$H$158-1)+1)&gt;=1,(7-(('Annahmen'!$I$158-2026)*12+'Annahmen'!$H$158-1)+1)&lt;=ROUND(('Annahmen'!$E$158)*12,0)),IF((7-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121,(IF((7-(('Annahmen'!$I$158-2026)*12+'Annahmen'!$H$158-1)+1)=1,'Annahmen'!$C$158,M292))),IF('Annahmen'!$G$158="Endfällig",IF((7-(('Annahmen'!$I$158-2026)*12+'Annahmen'!$H$158-1)+1)=ROUND(('Annahmen'!$E$158)*12,0),(IF((7-(('Annahmen'!$I$158-2026)*12+'Annahmen'!$H$158-1)+1)=1,'Annahmen'!$C$158,M292)),0),MIN('Annahmen'!$C$158/(MAX(ROUND(('Annahmen'!$E$158)*12,0)-('Annahmen'!$F$158)*12,1)),(IF((7-(('Annahmen'!$I$158-2026)*12+'Annahmen'!$H$158-1)+1)=1,'Annahmen'!$C$158,M292)))))),0)</f>
      </c>
      <c r="N207" s="51">
        <f>IF(AND((7-(('Annahmen'!$I$159-2026)*12+'Annahmen'!$H$159-1)+1)&gt;=1,(7-(('Annahmen'!$I$159-2026)*12+'Annahmen'!$H$159-1)+1)&lt;=ROUND(('Annahmen'!$E$159)*12,0)),IF((7-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121,(IF((7-(('Annahmen'!$I$159-2026)*12+'Annahmen'!$H$159-1)+1)=1,'Annahmen'!$C$159,N292))),IF('Annahmen'!$G$159="Endfällig",IF((7-(('Annahmen'!$I$159-2026)*12+'Annahmen'!$H$159-1)+1)=ROUND(('Annahmen'!$E$159)*12,0),(IF((7-(('Annahmen'!$I$159-2026)*12+'Annahmen'!$H$159-1)+1)=1,'Annahmen'!$C$159,N292)),0),MIN('Annahmen'!$C$159/(MAX(ROUND(('Annahmen'!$E$159)*12,0)-('Annahmen'!$F$159)*12,1)),(IF((7-(('Annahmen'!$I$159-2026)*12+'Annahmen'!$H$159-1)+1)=1,'Annahmen'!$C$159,N292)))))),0)</f>
      </c>
      <c r="O207" s="114">
        <f>SUM(C207:N207)</f>
      </c>
    </row>
    <row r="208" ht="15" customHeight="1" hidden="1" spans="2:15" x14ac:dyDescent="0.25" outlineLevel="1" collapsed="1">
      <c r="B208" s="113" t="s">
        <v>228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f>IF(AND((8-(('Annahmen'!$I$155-2026)*12+'Annahmen'!$H$155-1)+1)&gt;=1,(8-(('Annahmen'!$I$155-2026)*12+'Annahmen'!$H$155-1)+1)&lt;=ROUND(('Annahmen'!$E$155)*12,0)),IF((8-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122,(IF((8-(('Annahmen'!$I$155-2026)*12+'Annahmen'!$H$155-1)+1)=1,'Annahmen'!$C$155,J293))),IF('Annahmen'!$G$155="Endfällig",IF((8-(('Annahmen'!$I$155-2026)*12+'Annahmen'!$H$155-1)+1)=ROUND(('Annahmen'!$E$155)*12,0),(IF((8-(('Annahmen'!$I$155-2026)*12+'Annahmen'!$H$155-1)+1)=1,'Annahmen'!$C$155,J293)),0),MIN('Annahmen'!$C$155/(MAX(ROUND(('Annahmen'!$E$155)*12,0)-('Annahmen'!$F$155)*12,1)),(IF((8-(('Annahmen'!$I$155-2026)*12+'Annahmen'!$H$155-1)+1)=1,'Annahmen'!$C$155,J293)))))),0)</f>
      </c>
      <c r="K208" s="51">
        <f>IF(AND((8-(('Annahmen'!$I$156-2026)*12+'Annahmen'!$H$156-1)+1)&gt;=1,(8-(('Annahmen'!$I$156-2026)*12+'Annahmen'!$H$156-1)+1)&lt;=ROUND(('Annahmen'!$E$156)*12,0)),IF((8-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122,(IF((8-(('Annahmen'!$I$156-2026)*12+'Annahmen'!$H$156-1)+1)=1,'Annahmen'!$C$156,K293))),IF('Annahmen'!$G$156="Endfällig",IF((8-(('Annahmen'!$I$156-2026)*12+'Annahmen'!$H$156-1)+1)=ROUND(('Annahmen'!$E$156)*12,0),(IF((8-(('Annahmen'!$I$156-2026)*12+'Annahmen'!$H$156-1)+1)=1,'Annahmen'!$C$156,K293)),0),MIN('Annahmen'!$C$156/(MAX(ROUND(('Annahmen'!$E$156)*12,0)-('Annahmen'!$F$156)*12,1)),(IF((8-(('Annahmen'!$I$156-2026)*12+'Annahmen'!$H$156-1)+1)=1,'Annahmen'!$C$156,K293)))))),0)</f>
      </c>
      <c r="L208" s="51">
        <f>IF(AND((8-(('Annahmen'!$I$157-2026)*12+'Annahmen'!$H$157-1)+1)&gt;=1,(8-(('Annahmen'!$I$157-2026)*12+'Annahmen'!$H$157-1)+1)&lt;=ROUND(('Annahmen'!$E$157)*12,0)),IF((8-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122,(IF((8-(('Annahmen'!$I$157-2026)*12+'Annahmen'!$H$157-1)+1)=1,'Annahmen'!$C$157,L293))),IF('Annahmen'!$G$157="Endfällig",IF((8-(('Annahmen'!$I$157-2026)*12+'Annahmen'!$H$157-1)+1)=ROUND(('Annahmen'!$E$157)*12,0),(IF((8-(('Annahmen'!$I$157-2026)*12+'Annahmen'!$H$157-1)+1)=1,'Annahmen'!$C$157,L293)),0),MIN('Annahmen'!$C$157/(MAX(ROUND(('Annahmen'!$E$157)*12,0)-('Annahmen'!$F$157)*12,1)),(IF((8-(('Annahmen'!$I$157-2026)*12+'Annahmen'!$H$157-1)+1)=1,'Annahmen'!$C$157,L293)))))),0)</f>
      </c>
      <c r="M208" s="51">
        <f>IF(AND((8-(('Annahmen'!$I$158-2026)*12+'Annahmen'!$H$158-1)+1)&gt;=1,(8-(('Annahmen'!$I$158-2026)*12+'Annahmen'!$H$158-1)+1)&lt;=ROUND(('Annahmen'!$E$158)*12,0)),IF((8-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122,(IF((8-(('Annahmen'!$I$158-2026)*12+'Annahmen'!$H$158-1)+1)=1,'Annahmen'!$C$158,M293))),IF('Annahmen'!$G$158="Endfällig",IF((8-(('Annahmen'!$I$158-2026)*12+'Annahmen'!$H$158-1)+1)=ROUND(('Annahmen'!$E$158)*12,0),(IF((8-(('Annahmen'!$I$158-2026)*12+'Annahmen'!$H$158-1)+1)=1,'Annahmen'!$C$158,M293)),0),MIN('Annahmen'!$C$158/(MAX(ROUND(('Annahmen'!$E$158)*12,0)-('Annahmen'!$F$158)*12,1)),(IF((8-(('Annahmen'!$I$158-2026)*12+'Annahmen'!$H$158-1)+1)=1,'Annahmen'!$C$158,M293)))))),0)</f>
      </c>
      <c r="N208" s="51">
        <f>IF(AND((8-(('Annahmen'!$I$159-2026)*12+'Annahmen'!$H$159-1)+1)&gt;=1,(8-(('Annahmen'!$I$159-2026)*12+'Annahmen'!$H$159-1)+1)&lt;=ROUND(('Annahmen'!$E$159)*12,0)),IF((8-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122,(IF((8-(('Annahmen'!$I$159-2026)*12+'Annahmen'!$H$159-1)+1)=1,'Annahmen'!$C$159,N293))),IF('Annahmen'!$G$159="Endfällig",IF((8-(('Annahmen'!$I$159-2026)*12+'Annahmen'!$H$159-1)+1)=ROUND(('Annahmen'!$E$159)*12,0),(IF((8-(('Annahmen'!$I$159-2026)*12+'Annahmen'!$H$159-1)+1)=1,'Annahmen'!$C$159,N293)),0),MIN('Annahmen'!$C$159/(MAX(ROUND(('Annahmen'!$E$159)*12,0)-('Annahmen'!$F$159)*12,1)),(IF((8-(('Annahmen'!$I$159-2026)*12+'Annahmen'!$H$159-1)+1)=1,'Annahmen'!$C$159,N293)))))),0)</f>
      </c>
      <c r="O208" s="114">
        <f>SUM(C208:N208)</f>
      </c>
    </row>
    <row r="209" ht="15" customHeight="1" hidden="1" spans="2:15" x14ac:dyDescent="0.25" outlineLevel="1" collapsed="1">
      <c r="B209" s="113" t="s">
        <v>229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f>IF(AND((9-(('Annahmen'!$I$155-2026)*12+'Annahmen'!$H$155-1)+1)&gt;=1,(9-(('Annahmen'!$I$155-2026)*12+'Annahmen'!$H$155-1)+1)&lt;=ROUND(('Annahmen'!$E$155)*12,0)),IF((9-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123,(IF((9-(('Annahmen'!$I$155-2026)*12+'Annahmen'!$H$155-1)+1)=1,'Annahmen'!$C$155,J294))),IF('Annahmen'!$G$155="Endfällig",IF((9-(('Annahmen'!$I$155-2026)*12+'Annahmen'!$H$155-1)+1)=ROUND(('Annahmen'!$E$155)*12,0),(IF((9-(('Annahmen'!$I$155-2026)*12+'Annahmen'!$H$155-1)+1)=1,'Annahmen'!$C$155,J294)),0),MIN('Annahmen'!$C$155/(MAX(ROUND(('Annahmen'!$E$155)*12,0)-('Annahmen'!$F$155)*12,1)),(IF((9-(('Annahmen'!$I$155-2026)*12+'Annahmen'!$H$155-1)+1)=1,'Annahmen'!$C$155,J294)))))),0)</f>
      </c>
      <c r="K209" s="51">
        <f>IF(AND((9-(('Annahmen'!$I$156-2026)*12+'Annahmen'!$H$156-1)+1)&gt;=1,(9-(('Annahmen'!$I$156-2026)*12+'Annahmen'!$H$156-1)+1)&lt;=ROUND(('Annahmen'!$E$156)*12,0)),IF((9-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123,(IF((9-(('Annahmen'!$I$156-2026)*12+'Annahmen'!$H$156-1)+1)=1,'Annahmen'!$C$156,K294))),IF('Annahmen'!$G$156="Endfällig",IF((9-(('Annahmen'!$I$156-2026)*12+'Annahmen'!$H$156-1)+1)=ROUND(('Annahmen'!$E$156)*12,0),(IF((9-(('Annahmen'!$I$156-2026)*12+'Annahmen'!$H$156-1)+1)=1,'Annahmen'!$C$156,K294)),0),MIN('Annahmen'!$C$156/(MAX(ROUND(('Annahmen'!$E$156)*12,0)-('Annahmen'!$F$156)*12,1)),(IF((9-(('Annahmen'!$I$156-2026)*12+'Annahmen'!$H$156-1)+1)=1,'Annahmen'!$C$156,K294)))))),0)</f>
      </c>
      <c r="L209" s="51">
        <f>IF(AND((9-(('Annahmen'!$I$157-2026)*12+'Annahmen'!$H$157-1)+1)&gt;=1,(9-(('Annahmen'!$I$157-2026)*12+'Annahmen'!$H$157-1)+1)&lt;=ROUND(('Annahmen'!$E$157)*12,0)),IF((9-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123,(IF((9-(('Annahmen'!$I$157-2026)*12+'Annahmen'!$H$157-1)+1)=1,'Annahmen'!$C$157,L294))),IF('Annahmen'!$G$157="Endfällig",IF((9-(('Annahmen'!$I$157-2026)*12+'Annahmen'!$H$157-1)+1)=ROUND(('Annahmen'!$E$157)*12,0),(IF((9-(('Annahmen'!$I$157-2026)*12+'Annahmen'!$H$157-1)+1)=1,'Annahmen'!$C$157,L294)),0),MIN('Annahmen'!$C$157/(MAX(ROUND(('Annahmen'!$E$157)*12,0)-('Annahmen'!$F$157)*12,1)),(IF((9-(('Annahmen'!$I$157-2026)*12+'Annahmen'!$H$157-1)+1)=1,'Annahmen'!$C$157,L294)))))),0)</f>
      </c>
      <c r="M209" s="51">
        <f>IF(AND((9-(('Annahmen'!$I$158-2026)*12+'Annahmen'!$H$158-1)+1)&gt;=1,(9-(('Annahmen'!$I$158-2026)*12+'Annahmen'!$H$158-1)+1)&lt;=ROUND(('Annahmen'!$E$158)*12,0)),IF((9-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123,(IF((9-(('Annahmen'!$I$158-2026)*12+'Annahmen'!$H$158-1)+1)=1,'Annahmen'!$C$158,M294))),IF('Annahmen'!$G$158="Endfällig",IF((9-(('Annahmen'!$I$158-2026)*12+'Annahmen'!$H$158-1)+1)=ROUND(('Annahmen'!$E$158)*12,0),(IF((9-(('Annahmen'!$I$158-2026)*12+'Annahmen'!$H$158-1)+1)=1,'Annahmen'!$C$158,M294)),0),MIN('Annahmen'!$C$158/(MAX(ROUND(('Annahmen'!$E$158)*12,0)-('Annahmen'!$F$158)*12,1)),(IF((9-(('Annahmen'!$I$158-2026)*12+'Annahmen'!$H$158-1)+1)=1,'Annahmen'!$C$158,M294)))))),0)</f>
      </c>
      <c r="N209" s="51">
        <f>IF(AND((9-(('Annahmen'!$I$159-2026)*12+'Annahmen'!$H$159-1)+1)&gt;=1,(9-(('Annahmen'!$I$159-2026)*12+'Annahmen'!$H$159-1)+1)&lt;=ROUND(('Annahmen'!$E$159)*12,0)),IF((9-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123,(IF((9-(('Annahmen'!$I$159-2026)*12+'Annahmen'!$H$159-1)+1)=1,'Annahmen'!$C$159,N294))),IF('Annahmen'!$G$159="Endfällig",IF((9-(('Annahmen'!$I$159-2026)*12+'Annahmen'!$H$159-1)+1)=ROUND(('Annahmen'!$E$159)*12,0),(IF((9-(('Annahmen'!$I$159-2026)*12+'Annahmen'!$H$159-1)+1)=1,'Annahmen'!$C$159,N294)),0),MIN('Annahmen'!$C$159/(MAX(ROUND(('Annahmen'!$E$159)*12,0)-('Annahmen'!$F$159)*12,1)),(IF((9-(('Annahmen'!$I$159-2026)*12+'Annahmen'!$H$159-1)+1)=1,'Annahmen'!$C$159,N294)))))),0)</f>
      </c>
      <c r="O209" s="114">
        <f>SUM(C209:N209)</f>
      </c>
    </row>
    <row r="210" ht="15" customHeight="1" hidden="1" spans="2:15" x14ac:dyDescent="0.25" outlineLevel="1" collapsed="1">
      <c r="B210" s="113" t="s">
        <v>230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f>IF(AND((10-(('Annahmen'!$I$155-2026)*12+'Annahmen'!$H$155-1)+1)&gt;=1,(10-(('Annahmen'!$I$155-2026)*12+'Annahmen'!$H$155-1)+1)&lt;=ROUND(('Annahmen'!$E$155)*12,0)),IF((10-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124,(IF((10-(('Annahmen'!$I$155-2026)*12+'Annahmen'!$H$155-1)+1)=1,'Annahmen'!$C$155,J295))),IF('Annahmen'!$G$155="Endfällig",IF((10-(('Annahmen'!$I$155-2026)*12+'Annahmen'!$H$155-1)+1)=ROUND(('Annahmen'!$E$155)*12,0),(IF((10-(('Annahmen'!$I$155-2026)*12+'Annahmen'!$H$155-1)+1)=1,'Annahmen'!$C$155,J295)),0),MIN('Annahmen'!$C$155/(MAX(ROUND(('Annahmen'!$E$155)*12,0)-('Annahmen'!$F$155)*12,1)),(IF((10-(('Annahmen'!$I$155-2026)*12+'Annahmen'!$H$155-1)+1)=1,'Annahmen'!$C$155,J295)))))),0)</f>
      </c>
      <c r="K210" s="51">
        <f>IF(AND((10-(('Annahmen'!$I$156-2026)*12+'Annahmen'!$H$156-1)+1)&gt;=1,(10-(('Annahmen'!$I$156-2026)*12+'Annahmen'!$H$156-1)+1)&lt;=ROUND(('Annahmen'!$E$156)*12,0)),IF((10-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124,(IF((10-(('Annahmen'!$I$156-2026)*12+'Annahmen'!$H$156-1)+1)=1,'Annahmen'!$C$156,K295))),IF('Annahmen'!$G$156="Endfällig",IF((10-(('Annahmen'!$I$156-2026)*12+'Annahmen'!$H$156-1)+1)=ROUND(('Annahmen'!$E$156)*12,0),(IF((10-(('Annahmen'!$I$156-2026)*12+'Annahmen'!$H$156-1)+1)=1,'Annahmen'!$C$156,K295)),0),MIN('Annahmen'!$C$156/(MAX(ROUND(('Annahmen'!$E$156)*12,0)-('Annahmen'!$F$156)*12,1)),(IF((10-(('Annahmen'!$I$156-2026)*12+'Annahmen'!$H$156-1)+1)=1,'Annahmen'!$C$156,K295)))))),0)</f>
      </c>
      <c r="L210" s="51">
        <f>IF(AND((10-(('Annahmen'!$I$157-2026)*12+'Annahmen'!$H$157-1)+1)&gt;=1,(10-(('Annahmen'!$I$157-2026)*12+'Annahmen'!$H$157-1)+1)&lt;=ROUND(('Annahmen'!$E$157)*12,0)),IF((10-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124,(IF((10-(('Annahmen'!$I$157-2026)*12+'Annahmen'!$H$157-1)+1)=1,'Annahmen'!$C$157,L295))),IF('Annahmen'!$G$157="Endfällig",IF((10-(('Annahmen'!$I$157-2026)*12+'Annahmen'!$H$157-1)+1)=ROUND(('Annahmen'!$E$157)*12,0),(IF((10-(('Annahmen'!$I$157-2026)*12+'Annahmen'!$H$157-1)+1)=1,'Annahmen'!$C$157,L295)),0),MIN('Annahmen'!$C$157/(MAX(ROUND(('Annahmen'!$E$157)*12,0)-('Annahmen'!$F$157)*12,1)),(IF((10-(('Annahmen'!$I$157-2026)*12+'Annahmen'!$H$157-1)+1)=1,'Annahmen'!$C$157,L295)))))),0)</f>
      </c>
      <c r="M210" s="51">
        <f>IF(AND((10-(('Annahmen'!$I$158-2026)*12+'Annahmen'!$H$158-1)+1)&gt;=1,(10-(('Annahmen'!$I$158-2026)*12+'Annahmen'!$H$158-1)+1)&lt;=ROUND(('Annahmen'!$E$158)*12,0)),IF((10-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124,(IF((10-(('Annahmen'!$I$158-2026)*12+'Annahmen'!$H$158-1)+1)=1,'Annahmen'!$C$158,M295))),IF('Annahmen'!$G$158="Endfällig",IF((10-(('Annahmen'!$I$158-2026)*12+'Annahmen'!$H$158-1)+1)=ROUND(('Annahmen'!$E$158)*12,0),(IF((10-(('Annahmen'!$I$158-2026)*12+'Annahmen'!$H$158-1)+1)=1,'Annahmen'!$C$158,M295)),0),MIN('Annahmen'!$C$158/(MAX(ROUND(('Annahmen'!$E$158)*12,0)-('Annahmen'!$F$158)*12,1)),(IF((10-(('Annahmen'!$I$158-2026)*12+'Annahmen'!$H$158-1)+1)=1,'Annahmen'!$C$158,M295)))))),0)</f>
      </c>
      <c r="N210" s="51">
        <f>IF(AND((10-(('Annahmen'!$I$159-2026)*12+'Annahmen'!$H$159-1)+1)&gt;=1,(10-(('Annahmen'!$I$159-2026)*12+'Annahmen'!$H$159-1)+1)&lt;=ROUND(('Annahmen'!$E$159)*12,0)),IF((10-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124,(IF((10-(('Annahmen'!$I$159-2026)*12+'Annahmen'!$H$159-1)+1)=1,'Annahmen'!$C$159,N295))),IF('Annahmen'!$G$159="Endfällig",IF((10-(('Annahmen'!$I$159-2026)*12+'Annahmen'!$H$159-1)+1)=ROUND(('Annahmen'!$E$159)*12,0),(IF((10-(('Annahmen'!$I$159-2026)*12+'Annahmen'!$H$159-1)+1)=1,'Annahmen'!$C$159,N295)),0),MIN('Annahmen'!$C$159/(MAX(ROUND(('Annahmen'!$E$159)*12,0)-('Annahmen'!$F$159)*12,1)),(IF((10-(('Annahmen'!$I$159-2026)*12+'Annahmen'!$H$159-1)+1)=1,'Annahmen'!$C$159,N295)))))),0)</f>
      </c>
      <c r="O210" s="114">
        <f>SUM(C210:N210)</f>
      </c>
    </row>
    <row r="211" ht="15" customHeight="1" hidden="1" spans="2:15" x14ac:dyDescent="0.25" outlineLevel="1" collapsed="1">
      <c r="B211" s="113" t="s">
        <v>231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f>IF(AND((11-(('Annahmen'!$I$155-2026)*12+'Annahmen'!$H$155-1)+1)&gt;=1,(11-(('Annahmen'!$I$155-2026)*12+'Annahmen'!$H$155-1)+1)&lt;=ROUND(('Annahmen'!$E$155)*12,0)),IF((11-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125,(IF((11-(('Annahmen'!$I$155-2026)*12+'Annahmen'!$H$155-1)+1)=1,'Annahmen'!$C$155,J296))),IF('Annahmen'!$G$155="Endfällig",IF((11-(('Annahmen'!$I$155-2026)*12+'Annahmen'!$H$155-1)+1)=ROUND(('Annahmen'!$E$155)*12,0),(IF((11-(('Annahmen'!$I$155-2026)*12+'Annahmen'!$H$155-1)+1)=1,'Annahmen'!$C$155,J296)),0),MIN('Annahmen'!$C$155/(MAX(ROUND(('Annahmen'!$E$155)*12,0)-('Annahmen'!$F$155)*12,1)),(IF((11-(('Annahmen'!$I$155-2026)*12+'Annahmen'!$H$155-1)+1)=1,'Annahmen'!$C$155,J296)))))),0)</f>
      </c>
      <c r="K211" s="51">
        <f>IF(AND((11-(('Annahmen'!$I$156-2026)*12+'Annahmen'!$H$156-1)+1)&gt;=1,(11-(('Annahmen'!$I$156-2026)*12+'Annahmen'!$H$156-1)+1)&lt;=ROUND(('Annahmen'!$E$156)*12,0)),IF((11-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125,(IF((11-(('Annahmen'!$I$156-2026)*12+'Annahmen'!$H$156-1)+1)=1,'Annahmen'!$C$156,K296))),IF('Annahmen'!$G$156="Endfällig",IF((11-(('Annahmen'!$I$156-2026)*12+'Annahmen'!$H$156-1)+1)=ROUND(('Annahmen'!$E$156)*12,0),(IF((11-(('Annahmen'!$I$156-2026)*12+'Annahmen'!$H$156-1)+1)=1,'Annahmen'!$C$156,K296)),0),MIN('Annahmen'!$C$156/(MAX(ROUND(('Annahmen'!$E$156)*12,0)-('Annahmen'!$F$156)*12,1)),(IF((11-(('Annahmen'!$I$156-2026)*12+'Annahmen'!$H$156-1)+1)=1,'Annahmen'!$C$156,K296)))))),0)</f>
      </c>
      <c r="L211" s="51">
        <f>IF(AND((11-(('Annahmen'!$I$157-2026)*12+'Annahmen'!$H$157-1)+1)&gt;=1,(11-(('Annahmen'!$I$157-2026)*12+'Annahmen'!$H$157-1)+1)&lt;=ROUND(('Annahmen'!$E$157)*12,0)),IF((11-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125,(IF((11-(('Annahmen'!$I$157-2026)*12+'Annahmen'!$H$157-1)+1)=1,'Annahmen'!$C$157,L296))),IF('Annahmen'!$G$157="Endfällig",IF((11-(('Annahmen'!$I$157-2026)*12+'Annahmen'!$H$157-1)+1)=ROUND(('Annahmen'!$E$157)*12,0),(IF((11-(('Annahmen'!$I$157-2026)*12+'Annahmen'!$H$157-1)+1)=1,'Annahmen'!$C$157,L296)),0),MIN('Annahmen'!$C$157/(MAX(ROUND(('Annahmen'!$E$157)*12,0)-('Annahmen'!$F$157)*12,1)),(IF((11-(('Annahmen'!$I$157-2026)*12+'Annahmen'!$H$157-1)+1)=1,'Annahmen'!$C$157,L296)))))),0)</f>
      </c>
      <c r="M211" s="51">
        <f>IF(AND((11-(('Annahmen'!$I$158-2026)*12+'Annahmen'!$H$158-1)+1)&gt;=1,(11-(('Annahmen'!$I$158-2026)*12+'Annahmen'!$H$158-1)+1)&lt;=ROUND(('Annahmen'!$E$158)*12,0)),IF((11-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125,(IF((11-(('Annahmen'!$I$158-2026)*12+'Annahmen'!$H$158-1)+1)=1,'Annahmen'!$C$158,M296))),IF('Annahmen'!$G$158="Endfällig",IF((11-(('Annahmen'!$I$158-2026)*12+'Annahmen'!$H$158-1)+1)=ROUND(('Annahmen'!$E$158)*12,0),(IF((11-(('Annahmen'!$I$158-2026)*12+'Annahmen'!$H$158-1)+1)=1,'Annahmen'!$C$158,M296)),0),MIN('Annahmen'!$C$158/(MAX(ROUND(('Annahmen'!$E$158)*12,0)-('Annahmen'!$F$158)*12,1)),(IF((11-(('Annahmen'!$I$158-2026)*12+'Annahmen'!$H$158-1)+1)=1,'Annahmen'!$C$158,M296)))))),0)</f>
      </c>
      <c r="N211" s="51">
        <f>IF(AND((11-(('Annahmen'!$I$159-2026)*12+'Annahmen'!$H$159-1)+1)&gt;=1,(11-(('Annahmen'!$I$159-2026)*12+'Annahmen'!$H$159-1)+1)&lt;=ROUND(('Annahmen'!$E$159)*12,0)),IF((11-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125,(IF((11-(('Annahmen'!$I$159-2026)*12+'Annahmen'!$H$159-1)+1)=1,'Annahmen'!$C$159,N296))),IF('Annahmen'!$G$159="Endfällig",IF((11-(('Annahmen'!$I$159-2026)*12+'Annahmen'!$H$159-1)+1)=ROUND(('Annahmen'!$E$159)*12,0),(IF((11-(('Annahmen'!$I$159-2026)*12+'Annahmen'!$H$159-1)+1)=1,'Annahmen'!$C$159,N296)),0),MIN('Annahmen'!$C$159/(MAX(ROUND(('Annahmen'!$E$159)*12,0)-('Annahmen'!$F$159)*12,1)),(IF((11-(('Annahmen'!$I$159-2026)*12+'Annahmen'!$H$159-1)+1)=1,'Annahmen'!$C$159,N296)))))),0)</f>
      </c>
      <c r="O211" s="114">
        <f>SUM(C211:N211)</f>
      </c>
    </row>
    <row r="212" ht="15" customHeight="1" hidden="1" spans="2:15" x14ac:dyDescent="0.25" outlineLevel="1" collapsed="1">
      <c r="B212" s="115" t="s">
        <v>232</v>
      </c>
      <c r="C212" s="23">
        <f>SUM(C200:C211)</f>
      </c>
      <c r="D212" s="23">
        <f>SUM(D200:D211)</f>
      </c>
      <c r="E212" s="23">
        <f>SUM(E200:E211)</f>
      </c>
      <c r="F212" s="23">
        <f>SUM(F200:F211)</f>
      </c>
      <c r="G212" s="23">
        <f>SUM(G200:G211)</f>
      </c>
      <c r="H212" s="23">
        <f>SUM(H200:H211)</f>
      </c>
      <c r="I212" s="23">
        <f>SUM(I200:I211)</f>
      </c>
      <c r="J212" s="23">
        <f>SUM(J200:J211)</f>
      </c>
      <c r="K212" s="23">
        <f>SUM(K200:K211)</f>
      </c>
      <c r="L212" s="23">
        <f>SUM(L200:L211)</f>
      </c>
      <c r="M212" s="23">
        <f>SUM(M200:M211)</f>
      </c>
      <c r="N212" s="23">
        <f>SUM(N200:N211)</f>
      </c>
      <c r="O212" s="116">
        <f>SUM(O200:O211)</f>
      </c>
    </row>
    <row r="213" ht="15" customHeight="1" hidden="1" spans="2:15" x14ac:dyDescent="0.25" outlineLevel="1" collapsed="1">
      <c r="B213" s="113" t="s">
        <v>233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f>IF(AND((12-(('Annahmen'!$I$155-2026)*12+'Annahmen'!$H$155-1)+1)&gt;=1,(12-(('Annahmen'!$I$155-2026)*12+'Annahmen'!$H$155-1)+1)&lt;=ROUND(('Annahmen'!$E$155)*12,0)),IF((12-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127,(IF((12-(('Annahmen'!$I$155-2026)*12+'Annahmen'!$H$155-1)+1)=1,'Annahmen'!$C$155,J297))),IF('Annahmen'!$G$155="Endfällig",IF((12-(('Annahmen'!$I$155-2026)*12+'Annahmen'!$H$155-1)+1)=ROUND(('Annahmen'!$E$155)*12,0),(IF((12-(('Annahmen'!$I$155-2026)*12+'Annahmen'!$H$155-1)+1)=1,'Annahmen'!$C$155,J297)),0),MIN('Annahmen'!$C$155/(MAX(ROUND(('Annahmen'!$E$155)*12,0)-('Annahmen'!$F$155)*12,1)),(IF((12-(('Annahmen'!$I$155-2026)*12+'Annahmen'!$H$155-1)+1)=1,'Annahmen'!$C$155,J297)))))),0)</f>
      </c>
      <c r="K213" s="51">
        <f>IF(AND((12-(('Annahmen'!$I$156-2026)*12+'Annahmen'!$H$156-1)+1)&gt;=1,(12-(('Annahmen'!$I$156-2026)*12+'Annahmen'!$H$156-1)+1)&lt;=ROUND(('Annahmen'!$E$156)*12,0)),IF((12-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127,(IF((12-(('Annahmen'!$I$156-2026)*12+'Annahmen'!$H$156-1)+1)=1,'Annahmen'!$C$156,K297))),IF('Annahmen'!$G$156="Endfällig",IF((12-(('Annahmen'!$I$156-2026)*12+'Annahmen'!$H$156-1)+1)=ROUND(('Annahmen'!$E$156)*12,0),(IF((12-(('Annahmen'!$I$156-2026)*12+'Annahmen'!$H$156-1)+1)=1,'Annahmen'!$C$156,K297)),0),MIN('Annahmen'!$C$156/(MAX(ROUND(('Annahmen'!$E$156)*12,0)-('Annahmen'!$F$156)*12,1)),(IF((12-(('Annahmen'!$I$156-2026)*12+'Annahmen'!$H$156-1)+1)=1,'Annahmen'!$C$156,K297)))))),0)</f>
      </c>
      <c r="L213" s="51">
        <f>IF(AND((12-(('Annahmen'!$I$157-2026)*12+'Annahmen'!$H$157-1)+1)&gt;=1,(12-(('Annahmen'!$I$157-2026)*12+'Annahmen'!$H$157-1)+1)&lt;=ROUND(('Annahmen'!$E$157)*12,0)),IF((12-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127,(IF((12-(('Annahmen'!$I$157-2026)*12+'Annahmen'!$H$157-1)+1)=1,'Annahmen'!$C$157,L297))),IF('Annahmen'!$G$157="Endfällig",IF((12-(('Annahmen'!$I$157-2026)*12+'Annahmen'!$H$157-1)+1)=ROUND(('Annahmen'!$E$157)*12,0),(IF((12-(('Annahmen'!$I$157-2026)*12+'Annahmen'!$H$157-1)+1)=1,'Annahmen'!$C$157,L297)),0),MIN('Annahmen'!$C$157/(MAX(ROUND(('Annahmen'!$E$157)*12,0)-('Annahmen'!$F$157)*12,1)),(IF((12-(('Annahmen'!$I$157-2026)*12+'Annahmen'!$H$157-1)+1)=1,'Annahmen'!$C$157,L297)))))),0)</f>
      </c>
      <c r="M213" s="51">
        <f>IF(AND((12-(('Annahmen'!$I$158-2026)*12+'Annahmen'!$H$158-1)+1)&gt;=1,(12-(('Annahmen'!$I$158-2026)*12+'Annahmen'!$H$158-1)+1)&lt;=ROUND(('Annahmen'!$E$158)*12,0)),IF((12-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127,(IF((12-(('Annahmen'!$I$158-2026)*12+'Annahmen'!$H$158-1)+1)=1,'Annahmen'!$C$158,M297))),IF('Annahmen'!$G$158="Endfällig",IF((12-(('Annahmen'!$I$158-2026)*12+'Annahmen'!$H$158-1)+1)=ROUND(('Annahmen'!$E$158)*12,0),(IF((12-(('Annahmen'!$I$158-2026)*12+'Annahmen'!$H$158-1)+1)=1,'Annahmen'!$C$158,M297)),0),MIN('Annahmen'!$C$158/(MAX(ROUND(('Annahmen'!$E$158)*12,0)-('Annahmen'!$F$158)*12,1)),(IF((12-(('Annahmen'!$I$158-2026)*12+'Annahmen'!$H$158-1)+1)=1,'Annahmen'!$C$158,M297)))))),0)</f>
      </c>
      <c r="N213" s="51">
        <f>IF(AND((12-(('Annahmen'!$I$159-2026)*12+'Annahmen'!$H$159-1)+1)&gt;=1,(12-(('Annahmen'!$I$159-2026)*12+'Annahmen'!$H$159-1)+1)&lt;=ROUND(('Annahmen'!$E$159)*12,0)),IF((12-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127,(IF((12-(('Annahmen'!$I$159-2026)*12+'Annahmen'!$H$159-1)+1)=1,'Annahmen'!$C$159,N297))),IF('Annahmen'!$G$159="Endfällig",IF((12-(('Annahmen'!$I$159-2026)*12+'Annahmen'!$H$159-1)+1)=ROUND(('Annahmen'!$E$159)*12,0),(IF((12-(('Annahmen'!$I$159-2026)*12+'Annahmen'!$H$159-1)+1)=1,'Annahmen'!$C$159,N297)),0),MIN('Annahmen'!$C$159/(MAX(ROUND(('Annahmen'!$E$159)*12,0)-('Annahmen'!$F$159)*12,1)),(IF((12-(('Annahmen'!$I$159-2026)*12+'Annahmen'!$H$159-1)+1)=1,'Annahmen'!$C$159,N297)))))),0)</f>
      </c>
      <c r="O213" s="114">
        <f>SUM(C213:N213)</f>
      </c>
    </row>
    <row r="214" ht="15" customHeight="1" hidden="1" spans="2:15" x14ac:dyDescent="0.25" outlineLevel="1" collapsed="1">
      <c r="B214" s="113" t="s">
        <v>234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f>IF(AND((13-(('Annahmen'!$I$155-2026)*12+'Annahmen'!$H$155-1)+1)&gt;=1,(13-(('Annahmen'!$I$155-2026)*12+'Annahmen'!$H$155-1)+1)&lt;=ROUND(('Annahmen'!$E$155)*12,0)),IF((13-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128,(IF((13-(('Annahmen'!$I$155-2026)*12+'Annahmen'!$H$155-1)+1)=1,'Annahmen'!$C$155,J299))),IF('Annahmen'!$G$155="Endfällig",IF((13-(('Annahmen'!$I$155-2026)*12+'Annahmen'!$H$155-1)+1)=ROUND(('Annahmen'!$E$155)*12,0),(IF((13-(('Annahmen'!$I$155-2026)*12+'Annahmen'!$H$155-1)+1)=1,'Annahmen'!$C$155,J299)),0),MIN('Annahmen'!$C$155/(MAX(ROUND(('Annahmen'!$E$155)*12,0)-('Annahmen'!$F$155)*12,1)),(IF((13-(('Annahmen'!$I$155-2026)*12+'Annahmen'!$H$155-1)+1)=1,'Annahmen'!$C$155,J299)))))),0)</f>
      </c>
      <c r="K214" s="51">
        <f>IF(AND((13-(('Annahmen'!$I$156-2026)*12+'Annahmen'!$H$156-1)+1)&gt;=1,(13-(('Annahmen'!$I$156-2026)*12+'Annahmen'!$H$156-1)+1)&lt;=ROUND(('Annahmen'!$E$156)*12,0)),IF((13-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128,(IF((13-(('Annahmen'!$I$156-2026)*12+'Annahmen'!$H$156-1)+1)=1,'Annahmen'!$C$156,K299))),IF('Annahmen'!$G$156="Endfällig",IF((13-(('Annahmen'!$I$156-2026)*12+'Annahmen'!$H$156-1)+1)=ROUND(('Annahmen'!$E$156)*12,0),(IF((13-(('Annahmen'!$I$156-2026)*12+'Annahmen'!$H$156-1)+1)=1,'Annahmen'!$C$156,K299)),0),MIN('Annahmen'!$C$156/(MAX(ROUND(('Annahmen'!$E$156)*12,0)-('Annahmen'!$F$156)*12,1)),(IF((13-(('Annahmen'!$I$156-2026)*12+'Annahmen'!$H$156-1)+1)=1,'Annahmen'!$C$156,K299)))))),0)</f>
      </c>
      <c r="L214" s="51">
        <f>IF(AND((13-(('Annahmen'!$I$157-2026)*12+'Annahmen'!$H$157-1)+1)&gt;=1,(13-(('Annahmen'!$I$157-2026)*12+'Annahmen'!$H$157-1)+1)&lt;=ROUND(('Annahmen'!$E$157)*12,0)),IF((13-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128,(IF((13-(('Annahmen'!$I$157-2026)*12+'Annahmen'!$H$157-1)+1)=1,'Annahmen'!$C$157,L299))),IF('Annahmen'!$G$157="Endfällig",IF((13-(('Annahmen'!$I$157-2026)*12+'Annahmen'!$H$157-1)+1)=ROUND(('Annahmen'!$E$157)*12,0),(IF((13-(('Annahmen'!$I$157-2026)*12+'Annahmen'!$H$157-1)+1)=1,'Annahmen'!$C$157,L299)),0),MIN('Annahmen'!$C$157/(MAX(ROUND(('Annahmen'!$E$157)*12,0)-('Annahmen'!$F$157)*12,1)),(IF((13-(('Annahmen'!$I$157-2026)*12+'Annahmen'!$H$157-1)+1)=1,'Annahmen'!$C$157,L299)))))),0)</f>
      </c>
      <c r="M214" s="51">
        <f>IF(AND((13-(('Annahmen'!$I$158-2026)*12+'Annahmen'!$H$158-1)+1)&gt;=1,(13-(('Annahmen'!$I$158-2026)*12+'Annahmen'!$H$158-1)+1)&lt;=ROUND(('Annahmen'!$E$158)*12,0)),IF((13-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128,(IF((13-(('Annahmen'!$I$158-2026)*12+'Annahmen'!$H$158-1)+1)=1,'Annahmen'!$C$158,M299))),IF('Annahmen'!$G$158="Endfällig",IF((13-(('Annahmen'!$I$158-2026)*12+'Annahmen'!$H$158-1)+1)=ROUND(('Annahmen'!$E$158)*12,0),(IF((13-(('Annahmen'!$I$158-2026)*12+'Annahmen'!$H$158-1)+1)=1,'Annahmen'!$C$158,M299)),0),MIN('Annahmen'!$C$158/(MAX(ROUND(('Annahmen'!$E$158)*12,0)-('Annahmen'!$F$158)*12,1)),(IF((13-(('Annahmen'!$I$158-2026)*12+'Annahmen'!$H$158-1)+1)=1,'Annahmen'!$C$158,M299)))))),0)</f>
      </c>
      <c r="N214" s="51">
        <f>IF(AND((13-(('Annahmen'!$I$159-2026)*12+'Annahmen'!$H$159-1)+1)&gt;=1,(13-(('Annahmen'!$I$159-2026)*12+'Annahmen'!$H$159-1)+1)&lt;=ROUND(('Annahmen'!$E$159)*12,0)),IF((13-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128,(IF((13-(('Annahmen'!$I$159-2026)*12+'Annahmen'!$H$159-1)+1)=1,'Annahmen'!$C$159,N299))),IF('Annahmen'!$G$159="Endfällig",IF((13-(('Annahmen'!$I$159-2026)*12+'Annahmen'!$H$159-1)+1)=ROUND(('Annahmen'!$E$159)*12,0),(IF((13-(('Annahmen'!$I$159-2026)*12+'Annahmen'!$H$159-1)+1)=1,'Annahmen'!$C$159,N299)),0),MIN('Annahmen'!$C$159/(MAX(ROUND(('Annahmen'!$E$159)*12,0)-('Annahmen'!$F$159)*12,1)),(IF((13-(('Annahmen'!$I$159-2026)*12+'Annahmen'!$H$159-1)+1)=1,'Annahmen'!$C$159,N299)))))),0)</f>
      </c>
      <c r="O214" s="114">
        <f>SUM(C214:N214)</f>
      </c>
    </row>
    <row r="215" ht="15" customHeight="1" hidden="1" spans="2:15" x14ac:dyDescent="0.25" outlineLevel="1" collapsed="1">
      <c r="B215" s="113" t="s">
        <v>235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f>IF(AND((14-(('Annahmen'!$I$155-2026)*12+'Annahmen'!$H$155-1)+1)&gt;=1,(14-(('Annahmen'!$I$155-2026)*12+'Annahmen'!$H$155-1)+1)&lt;=ROUND(('Annahmen'!$E$155)*12,0)),IF((14-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129,(IF((14-(('Annahmen'!$I$155-2026)*12+'Annahmen'!$H$155-1)+1)=1,'Annahmen'!$C$155,J300))),IF('Annahmen'!$G$155="Endfällig",IF((14-(('Annahmen'!$I$155-2026)*12+'Annahmen'!$H$155-1)+1)=ROUND(('Annahmen'!$E$155)*12,0),(IF((14-(('Annahmen'!$I$155-2026)*12+'Annahmen'!$H$155-1)+1)=1,'Annahmen'!$C$155,J300)),0),MIN('Annahmen'!$C$155/(MAX(ROUND(('Annahmen'!$E$155)*12,0)-('Annahmen'!$F$155)*12,1)),(IF((14-(('Annahmen'!$I$155-2026)*12+'Annahmen'!$H$155-1)+1)=1,'Annahmen'!$C$155,J300)))))),0)</f>
      </c>
      <c r="K215" s="51">
        <f>IF(AND((14-(('Annahmen'!$I$156-2026)*12+'Annahmen'!$H$156-1)+1)&gt;=1,(14-(('Annahmen'!$I$156-2026)*12+'Annahmen'!$H$156-1)+1)&lt;=ROUND(('Annahmen'!$E$156)*12,0)),IF((14-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129,(IF((14-(('Annahmen'!$I$156-2026)*12+'Annahmen'!$H$156-1)+1)=1,'Annahmen'!$C$156,K300))),IF('Annahmen'!$G$156="Endfällig",IF((14-(('Annahmen'!$I$156-2026)*12+'Annahmen'!$H$156-1)+1)=ROUND(('Annahmen'!$E$156)*12,0),(IF((14-(('Annahmen'!$I$156-2026)*12+'Annahmen'!$H$156-1)+1)=1,'Annahmen'!$C$156,K300)),0),MIN('Annahmen'!$C$156/(MAX(ROUND(('Annahmen'!$E$156)*12,0)-('Annahmen'!$F$156)*12,1)),(IF((14-(('Annahmen'!$I$156-2026)*12+'Annahmen'!$H$156-1)+1)=1,'Annahmen'!$C$156,K300)))))),0)</f>
      </c>
      <c r="L215" s="51">
        <f>IF(AND((14-(('Annahmen'!$I$157-2026)*12+'Annahmen'!$H$157-1)+1)&gt;=1,(14-(('Annahmen'!$I$157-2026)*12+'Annahmen'!$H$157-1)+1)&lt;=ROUND(('Annahmen'!$E$157)*12,0)),IF((14-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129,(IF((14-(('Annahmen'!$I$157-2026)*12+'Annahmen'!$H$157-1)+1)=1,'Annahmen'!$C$157,L300))),IF('Annahmen'!$G$157="Endfällig",IF((14-(('Annahmen'!$I$157-2026)*12+'Annahmen'!$H$157-1)+1)=ROUND(('Annahmen'!$E$157)*12,0),(IF((14-(('Annahmen'!$I$157-2026)*12+'Annahmen'!$H$157-1)+1)=1,'Annahmen'!$C$157,L300)),0),MIN('Annahmen'!$C$157/(MAX(ROUND(('Annahmen'!$E$157)*12,0)-('Annahmen'!$F$157)*12,1)),(IF((14-(('Annahmen'!$I$157-2026)*12+'Annahmen'!$H$157-1)+1)=1,'Annahmen'!$C$157,L300)))))),0)</f>
      </c>
      <c r="M215" s="51">
        <f>IF(AND((14-(('Annahmen'!$I$158-2026)*12+'Annahmen'!$H$158-1)+1)&gt;=1,(14-(('Annahmen'!$I$158-2026)*12+'Annahmen'!$H$158-1)+1)&lt;=ROUND(('Annahmen'!$E$158)*12,0)),IF((14-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129,(IF((14-(('Annahmen'!$I$158-2026)*12+'Annahmen'!$H$158-1)+1)=1,'Annahmen'!$C$158,M300))),IF('Annahmen'!$G$158="Endfällig",IF((14-(('Annahmen'!$I$158-2026)*12+'Annahmen'!$H$158-1)+1)=ROUND(('Annahmen'!$E$158)*12,0),(IF((14-(('Annahmen'!$I$158-2026)*12+'Annahmen'!$H$158-1)+1)=1,'Annahmen'!$C$158,M300)),0),MIN('Annahmen'!$C$158/(MAX(ROUND(('Annahmen'!$E$158)*12,0)-('Annahmen'!$F$158)*12,1)),(IF((14-(('Annahmen'!$I$158-2026)*12+'Annahmen'!$H$158-1)+1)=1,'Annahmen'!$C$158,M300)))))),0)</f>
      </c>
      <c r="N215" s="51">
        <f>IF(AND((14-(('Annahmen'!$I$159-2026)*12+'Annahmen'!$H$159-1)+1)&gt;=1,(14-(('Annahmen'!$I$159-2026)*12+'Annahmen'!$H$159-1)+1)&lt;=ROUND(('Annahmen'!$E$159)*12,0)),IF((14-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129,(IF((14-(('Annahmen'!$I$159-2026)*12+'Annahmen'!$H$159-1)+1)=1,'Annahmen'!$C$159,N300))),IF('Annahmen'!$G$159="Endfällig",IF((14-(('Annahmen'!$I$159-2026)*12+'Annahmen'!$H$159-1)+1)=ROUND(('Annahmen'!$E$159)*12,0),(IF((14-(('Annahmen'!$I$159-2026)*12+'Annahmen'!$H$159-1)+1)=1,'Annahmen'!$C$159,N300)),0),MIN('Annahmen'!$C$159/(MAX(ROUND(('Annahmen'!$E$159)*12,0)-('Annahmen'!$F$159)*12,1)),(IF((14-(('Annahmen'!$I$159-2026)*12+'Annahmen'!$H$159-1)+1)=1,'Annahmen'!$C$159,N300)))))),0)</f>
      </c>
      <c r="O215" s="114">
        <f>SUM(C215:N215)</f>
      </c>
    </row>
    <row r="216" ht="15" customHeight="1" hidden="1" spans="2:15" x14ac:dyDescent="0.25" outlineLevel="1" collapsed="1">
      <c r="B216" s="113" t="s">
        <v>236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f>IF(AND((15-(('Annahmen'!$I$155-2026)*12+'Annahmen'!$H$155-1)+1)&gt;=1,(15-(('Annahmen'!$I$155-2026)*12+'Annahmen'!$H$155-1)+1)&lt;=ROUND(('Annahmen'!$E$155)*12,0)),IF((15-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130,(IF((15-(('Annahmen'!$I$155-2026)*12+'Annahmen'!$H$155-1)+1)=1,'Annahmen'!$C$155,J301))),IF('Annahmen'!$G$155="Endfällig",IF((15-(('Annahmen'!$I$155-2026)*12+'Annahmen'!$H$155-1)+1)=ROUND(('Annahmen'!$E$155)*12,0),(IF((15-(('Annahmen'!$I$155-2026)*12+'Annahmen'!$H$155-1)+1)=1,'Annahmen'!$C$155,J301)),0),MIN('Annahmen'!$C$155/(MAX(ROUND(('Annahmen'!$E$155)*12,0)-('Annahmen'!$F$155)*12,1)),(IF((15-(('Annahmen'!$I$155-2026)*12+'Annahmen'!$H$155-1)+1)=1,'Annahmen'!$C$155,J301)))))),0)</f>
      </c>
      <c r="K216" s="51">
        <f>IF(AND((15-(('Annahmen'!$I$156-2026)*12+'Annahmen'!$H$156-1)+1)&gt;=1,(15-(('Annahmen'!$I$156-2026)*12+'Annahmen'!$H$156-1)+1)&lt;=ROUND(('Annahmen'!$E$156)*12,0)),IF((15-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130,(IF((15-(('Annahmen'!$I$156-2026)*12+'Annahmen'!$H$156-1)+1)=1,'Annahmen'!$C$156,K301))),IF('Annahmen'!$G$156="Endfällig",IF((15-(('Annahmen'!$I$156-2026)*12+'Annahmen'!$H$156-1)+1)=ROUND(('Annahmen'!$E$156)*12,0),(IF((15-(('Annahmen'!$I$156-2026)*12+'Annahmen'!$H$156-1)+1)=1,'Annahmen'!$C$156,K301)),0),MIN('Annahmen'!$C$156/(MAX(ROUND(('Annahmen'!$E$156)*12,0)-('Annahmen'!$F$156)*12,1)),(IF((15-(('Annahmen'!$I$156-2026)*12+'Annahmen'!$H$156-1)+1)=1,'Annahmen'!$C$156,K301)))))),0)</f>
      </c>
      <c r="L216" s="51">
        <f>IF(AND((15-(('Annahmen'!$I$157-2026)*12+'Annahmen'!$H$157-1)+1)&gt;=1,(15-(('Annahmen'!$I$157-2026)*12+'Annahmen'!$H$157-1)+1)&lt;=ROUND(('Annahmen'!$E$157)*12,0)),IF((15-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130,(IF((15-(('Annahmen'!$I$157-2026)*12+'Annahmen'!$H$157-1)+1)=1,'Annahmen'!$C$157,L301))),IF('Annahmen'!$G$157="Endfällig",IF((15-(('Annahmen'!$I$157-2026)*12+'Annahmen'!$H$157-1)+1)=ROUND(('Annahmen'!$E$157)*12,0),(IF((15-(('Annahmen'!$I$157-2026)*12+'Annahmen'!$H$157-1)+1)=1,'Annahmen'!$C$157,L301)),0),MIN('Annahmen'!$C$157/(MAX(ROUND(('Annahmen'!$E$157)*12,0)-('Annahmen'!$F$157)*12,1)),(IF((15-(('Annahmen'!$I$157-2026)*12+'Annahmen'!$H$157-1)+1)=1,'Annahmen'!$C$157,L301)))))),0)</f>
      </c>
      <c r="M216" s="51">
        <f>IF(AND((15-(('Annahmen'!$I$158-2026)*12+'Annahmen'!$H$158-1)+1)&gt;=1,(15-(('Annahmen'!$I$158-2026)*12+'Annahmen'!$H$158-1)+1)&lt;=ROUND(('Annahmen'!$E$158)*12,0)),IF((15-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130,(IF((15-(('Annahmen'!$I$158-2026)*12+'Annahmen'!$H$158-1)+1)=1,'Annahmen'!$C$158,M301))),IF('Annahmen'!$G$158="Endfällig",IF((15-(('Annahmen'!$I$158-2026)*12+'Annahmen'!$H$158-1)+1)=ROUND(('Annahmen'!$E$158)*12,0),(IF((15-(('Annahmen'!$I$158-2026)*12+'Annahmen'!$H$158-1)+1)=1,'Annahmen'!$C$158,M301)),0),MIN('Annahmen'!$C$158/(MAX(ROUND(('Annahmen'!$E$158)*12,0)-('Annahmen'!$F$158)*12,1)),(IF((15-(('Annahmen'!$I$158-2026)*12+'Annahmen'!$H$158-1)+1)=1,'Annahmen'!$C$158,M301)))))),0)</f>
      </c>
      <c r="N216" s="51">
        <f>IF(AND((15-(('Annahmen'!$I$159-2026)*12+'Annahmen'!$H$159-1)+1)&gt;=1,(15-(('Annahmen'!$I$159-2026)*12+'Annahmen'!$H$159-1)+1)&lt;=ROUND(('Annahmen'!$E$159)*12,0)),IF((15-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130,(IF((15-(('Annahmen'!$I$159-2026)*12+'Annahmen'!$H$159-1)+1)=1,'Annahmen'!$C$159,N301))),IF('Annahmen'!$G$159="Endfällig",IF((15-(('Annahmen'!$I$159-2026)*12+'Annahmen'!$H$159-1)+1)=ROUND(('Annahmen'!$E$159)*12,0),(IF((15-(('Annahmen'!$I$159-2026)*12+'Annahmen'!$H$159-1)+1)=1,'Annahmen'!$C$159,N301)),0),MIN('Annahmen'!$C$159/(MAX(ROUND(('Annahmen'!$E$159)*12,0)-('Annahmen'!$F$159)*12,1)),(IF((15-(('Annahmen'!$I$159-2026)*12+'Annahmen'!$H$159-1)+1)=1,'Annahmen'!$C$159,N301)))))),0)</f>
      </c>
      <c r="O216" s="114">
        <f>SUM(C216:N216)</f>
      </c>
    </row>
    <row r="217" ht="15" customHeight="1" hidden="1" spans="2:15" x14ac:dyDescent="0.25" outlineLevel="1" collapsed="1">
      <c r="B217" s="113" t="s">
        <v>237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f>IF(AND((16-(('Annahmen'!$I$155-2026)*12+'Annahmen'!$H$155-1)+1)&gt;=1,(16-(('Annahmen'!$I$155-2026)*12+'Annahmen'!$H$155-1)+1)&lt;=ROUND(('Annahmen'!$E$155)*12,0)),IF((16-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131,(IF((16-(('Annahmen'!$I$155-2026)*12+'Annahmen'!$H$155-1)+1)=1,'Annahmen'!$C$155,J302))),IF('Annahmen'!$G$155="Endfällig",IF((16-(('Annahmen'!$I$155-2026)*12+'Annahmen'!$H$155-1)+1)=ROUND(('Annahmen'!$E$155)*12,0),(IF((16-(('Annahmen'!$I$155-2026)*12+'Annahmen'!$H$155-1)+1)=1,'Annahmen'!$C$155,J302)),0),MIN('Annahmen'!$C$155/(MAX(ROUND(('Annahmen'!$E$155)*12,0)-('Annahmen'!$F$155)*12,1)),(IF((16-(('Annahmen'!$I$155-2026)*12+'Annahmen'!$H$155-1)+1)=1,'Annahmen'!$C$155,J302)))))),0)</f>
      </c>
      <c r="K217" s="51">
        <f>IF(AND((16-(('Annahmen'!$I$156-2026)*12+'Annahmen'!$H$156-1)+1)&gt;=1,(16-(('Annahmen'!$I$156-2026)*12+'Annahmen'!$H$156-1)+1)&lt;=ROUND(('Annahmen'!$E$156)*12,0)),IF((16-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131,(IF((16-(('Annahmen'!$I$156-2026)*12+'Annahmen'!$H$156-1)+1)=1,'Annahmen'!$C$156,K302))),IF('Annahmen'!$G$156="Endfällig",IF((16-(('Annahmen'!$I$156-2026)*12+'Annahmen'!$H$156-1)+1)=ROUND(('Annahmen'!$E$156)*12,0),(IF((16-(('Annahmen'!$I$156-2026)*12+'Annahmen'!$H$156-1)+1)=1,'Annahmen'!$C$156,K302)),0),MIN('Annahmen'!$C$156/(MAX(ROUND(('Annahmen'!$E$156)*12,0)-('Annahmen'!$F$156)*12,1)),(IF((16-(('Annahmen'!$I$156-2026)*12+'Annahmen'!$H$156-1)+1)=1,'Annahmen'!$C$156,K302)))))),0)</f>
      </c>
      <c r="L217" s="51">
        <f>IF(AND((16-(('Annahmen'!$I$157-2026)*12+'Annahmen'!$H$157-1)+1)&gt;=1,(16-(('Annahmen'!$I$157-2026)*12+'Annahmen'!$H$157-1)+1)&lt;=ROUND(('Annahmen'!$E$157)*12,0)),IF((16-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131,(IF((16-(('Annahmen'!$I$157-2026)*12+'Annahmen'!$H$157-1)+1)=1,'Annahmen'!$C$157,L302))),IF('Annahmen'!$G$157="Endfällig",IF((16-(('Annahmen'!$I$157-2026)*12+'Annahmen'!$H$157-1)+1)=ROUND(('Annahmen'!$E$157)*12,0),(IF((16-(('Annahmen'!$I$157-2026)*12+'Annahmen'!$H$157-1)+1)=1,'Annahmen'!$C$157,L302)),0),MIN('Annahmen'!$C$157/(MAX(ROUND(('Annahmen'!$E$157)*12,0)-('Annahmen'!$F$157)*12,1)),(IF((16-(('Annahmen'!$I$157-2026)*12+'Annahmen'!$H$157-1)+1)=1,'Annahmen'!$C$157,L302)))))),0)</f>
      </c>
      <c r="M217" s="51">
        <f>IF(AND((16-(('Annahmen'!$I$158-2026)*12+'Annahmen'!$H$158-1)+1)&gt;=1,(16-(('Annahmen'!$I$158-2026)*12+'Annahmen'!$H$158-1)+1)&lt;=ROUND(('Annahmen'!$E$158)*12,0)),IF((16-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131,(IF((16-(('Annahmen'!$I$158-2026)*12+'Annahmen'!$H$158-1)+1)=1,'Annahmen'!$C$158,M302))),IF('Annahmen'!$G$158="Endfällig",IF((16-(('Annahmen'!$I$158-2026)*12+'Annahmen'!$H$158-1)+1)=ROUND(('Annahmen'!$E$158)*12,0),(IF((16-(('Annahmen'!$I$158-2026)*12+'Annahmen'!$H$158-1)+1)=1,'Annahmen'!$C$158,M302)),0),MIN('Annahmen'!$C$158/(MAX(ROUND(('Annahmen'!$E$158)*12,0)-('Annahmen'!$F$158)*12,1)),(IF((16-(('Annahmen'!$I$158-2026)*12+'Annahmen'!$H$158-1)+1)=1,'Annahmen'!$C$158,M302)))))),0)</f>
      </c>
      <c r="N217" s="51">
        <f>IF(AND((16-(('Annahmen'!$I$159-2026)*12+'Annahmen'!$H$159-1)+1)&gt;=1,(16-(('Annahmen'!$I$159-2026)*12+'Annahmen'!$H$159-1)+1)&lt;=ROUND(('Annahmen'!$E$159)*12,0)),IF((16-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131,(IF((16-(('Annahmen'!$I$159-2026)*12+'Annahmen'!$H$159-1)+1)=1,'Annahmen'!$C$159,N302))),IF('Annahmen'!$G$159="Endfällig",IF((16-(('Annahmen'!$I$159-2026)*12+'Annahmen'!$H$159-1)+1)=ROUND(('Annahmen'!$E$159)*12,0),(IF((16-(('Annahmen'!$I$159-2026)*12+'Annahmen'!$H$159-1)+1)=1,'Annahmen'!$C$159,N302)),0),MIN('Annahmen'!$C$159/(MAX(ROUND(('Annahmen'!$E$159)*12,0)-('Annahmen'!$F$159)*12,1)),(IF((16-(('Annahmen'!$I$159-2026)*12+'Annahmen'!$H$159-1)+1)=1,'Annahmen'!$C$159,N302)))))),0)</f>
      </c>
      <c r="O217" s="114">
        <f>SUM(C217:N217)</f>
      </c>
    </row>
    <row r="218" ht="15" customHeight="1" hidden="1" spans="2:15" x14ac:dyDescent="0.25" outlineLevel="1" collapsed="1">
      <c r="B218" s="113" t="s">
        <v>238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f>IF(AND((17-(('Annahmen'!$I$155-2026)*12+'Annahmen'!$H$155-1)+1)&gt;=1,(17-(('Annahmen'!$I$155-2026)*12+'Annahmen'!$H$155-1)+1)&lt;=ROUND(('Annahmen'!$E$155)*12,0)),IF((17-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132,(IF((17-(('Annahmen'!$I$155-2026)*12+'Annahmen'!$H$155-1)+1)=1,'Annahmen'!$C$155,J303))),IF('Annahmen'!$G$155="Endfällig",IF((17-(('Annahmen'!$I$155-2026)*12+'Annahmen'!$H$155-1)+1)=ROUND(('Annahmen'!$E$155)*12,0),(IF((17-(('Annahmen'!$I$155-2026)*12+'Annahmen'!$H$155-1)+1)=1,'Annahmen'!$C$155,J303)),0),MIN('Annahmen'!$C$155/(MAX(ROUND(('Annahmen'!$E$155)*12,0)-('Annahmen'!$F$155)*12,1)),(IF((17-(('Annahmen'!$I$155-2026)*12+'Annahmen'!$H$155-1)+1)=1,'Annahmen'!$C$155,J303)))))),0)</f>
      </c>
      <c r="K218" s="51">
        <f>IF(AND((17-(('Annahmen'!$I$156-2026)*12+'Annahmen'!$H$156-1)+1)&gt;=1,(17-(('Annahmen'!$I$156-2026)*12+'Annahmen'!$H$156-1)+1)&lt;=ROUND(('Annahmen'!$E$156)*12,0)),IF((17-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132,(IF((17-(('Annahmen'!$I$156-2026)*12+'Annahmen'!$H$156-1)+1)=1,'Annahmen'!$C$156,K303))),IF('Annahmen'!$G$156="Endfällig",IF((17-(('Annahmen'!$I$156-2026)*12+'Annahmen'!$H$156-1)+1)=ROUND(('Annahmen'!$E$156)*12,0),(IF((17-(('Annahmen'!$I$156-2026)*12+'Annahmen'!$H$156-1)+1)=1,'Annahmen'!$C$156,K303)),0),MIN('Annahmen'!$C$156/(MAX(ROUND(('Annahmen'!$E$156)*12,0)-('Annahmen'!$F$156)*12,1)),(IF((17-(('Annahmen'!$I$156-2026)*12+'Annahmen'!$H$156-1)+1)=1,'Annahmen'!$C$156,K303)))))),0)</f>
      </c>
      <c r="L218" s="51">
        <f>IF(AND((17-(('Annahmen'!$I$157-2026)*12+'Annahmen'!$H$157-1)+1)&gt;=1,(17-(('Annahmen'!$I$157-2026)*12+'Annahmen'!$H$157-1)+1)&lt;=ROUND(('Annahmen'!$E$157)*12,0)),IF((17-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132,(IF((17-(('Annahmen'!$I$157-2026)*12+'Annahmen'!$H$157-1)+1)=1,'Annahmen'!$C$157,L303))),IF('Annahmen'!$G$157="Endfällig",IF((17-(('Annahmen'!$I$157-2026)*12+'Annahmen'!$H$157-1)+1)=ROUND(('Annahmen'!$E$157)*12,0),(IF((17-(('Annahmen'!$I$157-2026)*12+'Annahmen'!$H$157-1)+1)=1,'Annahmen'!$C$157,L303)),0),MIN('Annahmen'!$C$157/(MAX(ROUND(('Annahmen'!$E$157)*12,0)-('Annahmen'!$F$157)*12,1)),(IF((17-(('Annahmen'!$I$157-2026)*12+'Annahmen'!$H$157-1)+1)=1,'Annahmen'!$C$157,L303)))))),0)</f>
      </c>
      <c r="M218" s="51">
        <f>IF(AND((17-(('Annahmen'!$I$158-2026)*12+'Annahmen'!$H$158-1)+1)&gt;=1,(17-(('Annahmen'!$I$158-2026)*12+'Annahmen'!$H$158-1)+1)&lt;=ROUND(('Annahmen'!$E$158)*12,0)),IF((17-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132,(IF((17-(('Annahmen'!$I$158-2026)*12+'Annahmen'!$H$158-1)+1)=1,'Annahmen'!$C$158,M303))),IF('Annahmen'!$G$158="Endfällig",IF((17-(('Annahmen'!$I$158-2026)*12+'Annahmen'!$H$158-1)+1)=ROUND(('Annahmen'!$E$158)*12,0),(IF((17-(('Annahmen'!$I$158-2026)*12+'Annahmen'!$H$158-1)+1)=1,'Annahmen'!$C$158,M303)),0),MIN('Annahmen'!$C$158/(MAX(ROUND(('Annahmen'!$E$158)*12,0)-('Annahmen'!$F$158)*12,1)),(IF((17-(('Annahmen'!$I$158-2026)*12+'Annahmen'!$H$158-1)+1)=1,'Annahmen'!$C$158,M303)))))),0)</f>
      </c>
      <c r="N218" s="51">
        <f>IF(AND((17-(('Annahmen'!$I$159-2026)*12+'Annahmen'!$H$159-1)+1)&gt;=1,(17-(('Annahmen'!$I$159-2026)*12+'Annahmen'!$H$159-1)+1)&lt;=ROUND(('Annahmen'!$E$159)*12,0)),IF((17-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132,(IF((17-(('Annahmen'!$I$159-2026)*12+'Annahmen'!$H$159-1)+1)=1,'Annahmen'!$C$159,N303))),IF('Annahmen'!$G$159="Endfällig",IF((17-(('Annahmen'!$I$159-2026)*12+'Annahmen'!$H$159-1)+1)=ROUND(('Annahmen'!$E$159)*12,0),(IF((17-(('Annahmen'!$I$159-2026)*12+'Annahmen'!$H$159-1)+1)=1,'Annahmen'!$C$159,N303)),0),MIN('Annahmen'!$C$159/(MAX(ROUND(('Annahmen'!$E$159)*12,0)-('Annahmen'!$F$159)*12,1)),(IF((17-(('Annahmen'!$I$159-2026)*12+'Annahmen'!$H$159-1)+1)=1,'Annahmen'!$C$159,N303)))))),0)</f>
      </c>
      <c r="O218" s="114">
        <f>SUM(C218:N218)</f>
      </c>
    </row>
    <row r="219" ht="15" customHeight="1" hidden="1" spans="2:15" x14ac:dyDescent="0.25" outlineLevel="1" collapsed="1">
      <c r="B219" s="113" t="s">
        <v>239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f>IF(AND((18-(('Annahmen'!$I$155-2026)*12+'Annahmen'!$H$155-1)+1)&gt;=1,(18-(('Annahmen'!$I$155-2026)*12+'Annahmen'!$H$155-1)+1)&lt;=ROUND(('Annahmen'!$E$155)*12,0)),IF((18-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133,(IF((18-(('Annahmen'!$I$155-2026)*12+'Annahmen'!$H$155-1)+1)=1,'Annahmen'!$C$155,J304))),IF('Annahmen'!$G$155="Endfällig",IF((18-(('Annahmen'!$I$155-2026)*12+'Annahmen'!$H$155-1)+1)=ROUND(('Annahmen'!$E$155)*12,0),(IF((18-(('Annahmen'!$I$155-2026)*12+'Annahmen'!$H$155-1)+1)=1,'Annahmen'!$C$155,J304)),0),MIN('Annahmen'!$C$155/(MAX(ROUND(('Annahmen'!$E$155)*12,0)-('Annahmen'!$F$155)*12,1)),(IF((18-(('Annahmen'!$I$155-2026)*12+'Annahmen'!$H$155-1)+1)=1,'Annahmen'!$C$155,J304)))))),0)</f>
      </c>
      <c r="K219" s="51">
        <f>IF(AND((18-(('Annahmen'!$I$156-2026)*12+'Annahmen'!$H$156-1)+1)&gt;=1,(18-(('Annahmen'!$I$156-2026)*12+'Annahmen'!$H$156-1)+1)&lt;=ROUND(('Annahmen'!$E$156)*12,0)),IF((18-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133,(IF((18-(('Annahmen'!$I$156-2026)*12+'Annahmen'!$H$156-1)+1)=1,'Annahmen'!$C$156,K304))),IF('Annahmen'!$G$156="Endfällig",IF((18-(('Annahmen'!$I$156-2026)*12+'Annahmen'!$H$156-1)+1)=ROUND(('Annahmen'!$E$156)*12,0),(IF((18-(('Annahmen'!$I$156-2026)*12+'Annahmen'!$H$156-1)+1)=1,'Annahmen'!$C$156,K304)),0),MIN('Annahmen'!$C$156/(MAX(ROUND(('Annahmen'!$E$156)*12,0)-('Annahmen'!$F$156)*12,1)),(IF((18-(('Annahmen'!$I$156-2026)*12+'Annahmen'!$H$156-1)+1)=1,'Annahmen'!$C$156,K304)))))),0)</f>
      </c>
      <c r="L219" s="51">
        <f>IF(AND((18-(('Annahmen'!$I$157-2026)*12+'Annahmen'!$H$157-1)+1)&gt;=1,(18-(('Annahmen'!$I$157-2026)*12+'Annahmen'!$H$157-1)+1)&lt;=ROUND(('Annahmen'!$E$157)*12,0)),IF((18-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133,(IF((18-(('Annahmen'!$I$157-2026)*12+'Annahmen'!$H$157-1)+1)=1,'Annahmen'!$C$157,L304))),IF('Annahmen'!$G$157="Endfällig",IF((18-(('Annahmen'!$I$157-2026)*12+'Annahmen'!$H$157-1)+1)=ROUND(('Annahmen'!$E$157)*12,0),(IF((18-(('Annahmen'!$I$157-2026)*12+'Annahmen'!$H$157-1)+1)=1,'Annahmen'!$C$157,L304)),0),MIN('Annahmen'!$C$157/(MAX(ROUND(('Annahmen'!$E$157)*12,0)-('Annahmen'!$F$157)*12,1)),(IF((18-(('Annahmen'!$I$157-2026)*12+'Annahmen'!$H$157-1)+1)=1,'Annahmen'!$C$157,L304)))))),0)</f>
      </c>
      <c r="M219" s="51">
        <f>IF(AND((18-(('Annahmen'!$I$158-2026)*12+'Annahmen'!$H$158-1)+1)&gt;=1,(18-(('Annahmen'!$I$158-2026)*12+'Annahmen'!$H$158-1)+1)&lt;=ROUND(('Annahmen'!$E$158)*12,0)),IF((18-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133,(IF((18-(('Annahmen'!$I$158-2026)*12+'Annahmen'!$H$158-1)+1)=1,'Annahmen'!$C$158,M304))),IF('Annahmen'!$G$158="Endfällig",IF((18-(('Annahmen'!$I$158-2026)*12+'Annahmen'!$H$158-1)+1)=ROUND(('Annahmen'!$E$158)*12,0),(IF((18-(('Annahmen'!$I$158-2026)*12+'Annahmen'!$H$158-1)+1)=1,'Annahmen'!$C$158,M304)),0),MIN('Annahmen'!$C$158/(MAX(ROUND(('Annahmen'!$E$158)*12,0)-('Annahmen'!$F$158)*12,1)),(IF((18-(('Annahmen'!$I$158-2026)*12+'Annahmen'!$H$158-1)+1)=1,'Annahmen'!$C$158,M304)))))),0)</f>
      </c>
      <c r="N219" s="51">
        <f>IF(AND((18-(('Annahmen'!$I$159-2026)*12+'Annahmen'!$H$159-1)+1)&gt;=1,(18-(('Annahmen'!$I$159-2026)*12+'Annahmen'!$H$159-1)+1)&lt;=ROUND(('Annahmen'!$E$159)*12,0)),IF((18-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133,(IF((18-(('Annahmen'!$I$159-2026)*12+'Annahmen'!$H$159-1)+1)=1,'Annahmen'!$C$159,N304))),IF('Annahmen'!$G$159="Endfällig",IF((18-(('Annahmen'!$I$159-2026)*12+'Annahmen'!$H$159-1)+1)=ROUND(('Annahmen'!$E$159)*12,0),(IF((18-(('Annahmen'!$I$159-2026)*12+'Annahmen'!$H$159-1)+1)=1,'Annahmen'!$C$159,N304)),0),MIN('Annahmen'!$C$159/(MAX(ROUND(('Annahmen'!$E$159)*12,0)-('Annahmen'!$F$159)*12,1)),(IF((18-(('Annahmen'!$I$159-2026)*12+'Annahmen'!$H$159-1)+1)=1,'Annahmen'!$C$159,N304)))))),0)</f>
      </c>
      <c r="O219" s="114">
        <f>SUM(C219:N219)</f>
      </c>
    </row>
    <row r="220" ht="15" customHeight="1" hidden="1" spans="2:15" x14ac:dyDescent="0.25" outlineLevel="1" collapsed="1">
      <c r="B220" s="113" t="s">
        <v>240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f>IF(AND((19-(('Annahmen'!$I$155-2026)*12+'Annahmen'!$H$155-1)+1)&gt;=1,(19-(('Annahmen'!$I$155-2026)*12+'Annahmen'!$H$155-1)+1)&lt;=ROUND(('Annahmen'!$E$155)*12,0)),IF((19-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134,(IF((19-(('Annahmen'!$I$155-2026)*12+'Annahmen'!$H$155-1)+1)=1,'Annahmen'!$C$155,J305))),IF('Annahmen'!$G$155="Endfällig",IF((19-(('Annahmen'!$I$155-2026)*12+'Annahmen'!$H$155-1)+1)=ROUND(('Annahmen'!$E$155)*12,0),(IF((19-(('Annahmen'!$I$155-2026)*12+'Annahmen'!$H$155-1)+1)=1,'Annahmen'!$C$155,J305)),0),MIN('Annahmen'!$C$155/(MAX(ROUND(('Annahmen'!$E$155)*12,0)-('Annahmen'!$F$155)*12,1)),(IF((19-(('Annahmen'!$I$155-2026)*12+'Annahmen'!$H$155-1)+1)=1,'Annahmen'!$C$155,J305)))))),0)</f>
      </c>
      <c r="K220" s="51">
        <f>IF(AND((19-(('Annahmen'!$I$156-2026)*12+'Annahmen'!$H$156-1)+1)&gt;=1,(19-(('Annahmen'!$I$156-2026)*12+'Annahmen'!$H$156-1)+1)&lt;=ROUND(('Annahmen'!$E$156)*12,0)),IF((19-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134,(IF((19-(('Annahmen'!$I$156-2026)*12+'Annahmen'!$H$156-1)+1)=1,'Annahmen'!$C$156,K305))),IF('Annahmen'!$G$156="Endfällig",IF((19-(('Annahmen'!$I$156-2026)*12+'Annahmen'!$H$156-1)+1)=ROUND(('Annahmen'!$E$156)*12,0),(IF((19-(('Annahmen'!$I$156-2026)*12+'Annahmen'!$H$156-1)+1)=1,'Annahmen'!$C$156,K305)),0),MIN('Annahmen'!$C$156/(MAX(ROUND(('Annahmen'!$E$156)*12,0)-('Annahmen'!$F$156)*12,1)),(IF((19-(('Annahmen'!$I$156-2026)*12+'Annahmen'!$H$156-1)+1)=1,'Annahmen'!$C$156,K305)))))),0)</f>
      </c>
      <c r="L220" s="51">
        <f>IF(AND((19-(('Annahmen'!$I$157-2026)*12+'Annahmen'!$H$157-1)+1)&gt;=1,(19-(('Annahmen'!$I$157-2026)*12+'Annahmen'!$H$157-1)+1)&lt;=ROUND(('Annahmen'!$E$157)*12,0)),IF((19-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134,(IF((19-(('Annahmen'!$I$157-2026)*12+'Annahmen'!$H$157-1)+1)=1,'Annahmen'!$C$157,L305))),IF('Annahmen'!$G$157="Endfällig",IF((19-(('Annahmen'!$I$157-2026)*12+'Annahmen'!$H$157-1)+1)=ROUND(('Annahmen'!$E$157)*12,0),(IF((19-(('Annahmen'!$I$157-2026)*12+'Annahmen'!$H$157-1)+1)=1,'Annahmen'!$C$157,L305)),0),MIN('Annahmen'!$C$157/(MAX(ROUND(('Annahmen'!$E$157)*12,0)-('Annahmen'!$F$157)*12,1)),(IF((19-(('Annahmen'!$I$157-2026)*12+'Annahmen'!$H$157-1)+1)=1,'Annahmen'!$C$157,L305)))))),0)</f>
      </c>
      <c r="M220" s="51">
        <f>IF(AND((19-(('Annahmen'!$I$158-2026)*12+'Annahmen'!$H$158-1)+1)&gt;=1,(19-(('Annahmen'!$I$158-2026)*12+'Annahmen'!$H$158-1)+1)&lt;=ROUND(('Annahmen'!$E$158)*12,0)),IF((19-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134,(IF((19-(('Annahmen'!$I$158-2026)*12+'Annahmen'!$H$158-1)+1)=1,'Annahmen'!$C$158,M305))),IF('Annahmen'!$G$158="Endfällig",IF((19-(('Annahmen'!$I$158-2026)*12+'Annahmen'!$H$158-1)+1)=ROUND(('Annahmen'!$E$158)*12,0),(IF((19-(('Annahmen'!$I$158-2026)*12+'Annahmen'!$H$158-1)+1)=1,'Annahmen'!$C$158,M305)),0),MIN('Annahmen'!$C$158/(MAX(ROUND(('Annahmen'!$E$158)*12,0)-('Annahmen'!$F$158)*12,1)),(IF((19-(('Annahmen'!$I$158-2026)*12+'Annahmen'!$H$158-1)+1)=1,'Annahmen'!$C$158,M305)))))),0)</f>
      </c>
      <c r="N220" s="51">
        <f>IF(AND((19-(('Annahmen'!$I$159-2026)*12+'Annahmen'!$H$159-1)+1)&gt;=1,(19-(('Annahmen'!$I$159-2026)*12+'Annahmen'!$H$159-1)+1)&lt;=ROUND(('Annahmen'!$E$159)*12,0)),IF((19-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134,(IF((19-(('Annahmen'!$I$159-2026)*12+'Annahmen'!$H$159-1)+1)=1,'Annahmen'!$C$159,N305))),IF('Annahmen'!$G$159="Endfällig",IF((19-(('Annahmen'!$I$159-2026)*12+'Annahmen'!$H$159-1)+1)=ROUND(('Annahmen'!$E$159)*12,0),(IF((19-(('Annahmen'!$I$159-2026)*12+'Annahmen'!$H$159-1)+1)=1,'Annahmen'!$C$159,N305)),0),MIN('Annahmen'!$C$159/(MAX(ROUND(('Annahmen'!$E$159)*12,0)-('Annahmen'!$F$159)*12,1)),(IF((19-(('Annahmen'!$I$159-2026)*12+'Annahmen'!$H$159-1)+1)=1,'Annahmen'!$C$159,N305)))))),0)</f>
      </c>
      <c r="O220" s="114">
        <f>SUM(C220:N220)</f>
      </c>
    </row>
    <row r="221" ht="15" customHeight="1" hidden="1" spans="2:15" x14ac:dyDescent="0.25" outlineLevel="1" collapsed="1">
      <c r="B221" s="113" t="s">
        <v>241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f>IF(AND((20-(('Annahmen'!$I$155-2026)*12+'Annahmen'!$H$155-1)+1)&gt;=1,(20-(('Annahmen'!$I$155-2026)*12+'Annahmen'!$H$155-1)+1)&lt;=ROUND(('Annahmen'!$E$155)*12,0)),IF((20-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135,(IF((20-(('Annahmen'!$I$155-2026)*12+'Annahmen'!$H$155-1)+1)=1,'Annahmen'!$C$155,J306))),IF('Annahmen'!$G$155="Endfällig",IF((20-(('Annahmen'!$I$155-2026)*12+'Annahmen'!$H$155-1)+1)=ROUND(('Annahmen'!$E$155)*12,0),(IF((20-(('Annahmen'!$I$155-2026)*12+'Annahmen'!$H$155-1)+1)=1,'Annahmen'!$C$155,J306)),0),MIN('Annahmen'!$C$155/(MAX(ROUND(('Annahmen'!$E$155)*12,0)-('Annahmen'!$F$155)*12,1)),(IF((20-(('Annahmen'!$I$155-2026)*12+'Annahmen'!$H$155-1)+1)=1,'Annahmen'!$C$155,J306)))))),0)</f>
      </c>
      <c r="K221" s="51">
        <f>IF(AND((20-(('Annahmen'!$I$156-2026)*12+'Annahmen'!$H$156-1)+1)&gt;=1,(20-(('Annahmen'!$I$156-2026)*12+'Annahmen'!$H$156-1)+1)&lt;=ROUND(('Annahmen'!$E$156)*12,0)),IF((20-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135,(IF((20-(('Annahmen'!$I$156-2026)*12+'Annahmen'!$H$156-1)+1)=1,'Annahmen'!$C$156,K306))),IF('Annahmen'!$G$156="Endfällig",IF((20-(('Annahmen'!$I$156-2026)*12+'Annahmen'!$H$156-1)+1)=ROUND(('Annahmen'!$E$156)*12,0),(IF((20-(('Annahmen'!$I$156-2026)*12+'Annahmen'!$H$156-1)+1)=1,'Annahmen'!$C$156,K306)),0),MIN('Annahmen'!$C$156/(MAX(ROUND(('Annahmen'!$E$156)*12,0)-('Annahmen'!$F$156)*12,1)),(IF((20-(('Annahmen'!$I$156-2026)*12+'Annahmen'!$H$156-1)+1)=1,'Annahmen'!$C$156,K306)))))),0)</f>
      </c>
      <c r="L221" s="51">
        <f>IF(AND((20-(('Annahmen'!$I$157-2026)*12+'Annahmen'!$H$157-1)+1)&gt;=1,(20-(('Annahmen'!$I$157-2026)*12+'Annahmen'!$H$157-1)+1)&lt;=ROUND(('Annahmen'!$E$157)*12,0)),IF((20-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135,(IF((20-(('Annahmen'!$I$157-2026)*12+'Annahmen'!$H$157-1)+1)=1,'Annahmen'!$C$157,L306))),IF('Annahmen'!$G$157="Endfällig",IF((20-(('Annahmen'!$I$157-2026)*12+'Annahmen'!$H$157-1)+1)=ROUND(('Annahmen'!$E$157)*12,0),(IF((20-(('Annahmen'!$I$157-2026)*12+'Annahmen'!$H$157-1)+1)=1,'Annahmen'!$C$157,L306)),0),MIN('Annahmen'!$C$157/(MAX(ROUND(('Annahmen'!$E$157)*12,0)-('Annahmen'!$F$157)*12,1)),(IF((20-(('Annahmen'!$I$157-2026)*12+'Annahmen'!$H$157-1)+1)=1,'Annahmen'!$C$157,L306)))))),0)</f>
      </c>
      <c r="M221" s="51">
        <f>IF(AND((20-(('Annahmen'!$I$158-2026)*12+'Annahmen'!$H$158-1)+1)&gt;=1,(20-(('Annahmen'!$I$158-2026)*12+'Annahmen'!$H$158-1)+1)&lt;=ROUND(('Annahmen'!$E$158)*12,0)),IF((20-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135,(IF((20-(('Annahmen'!$I$158-2026)*12+'Annahmen'!$H$158-1)+1)=1,'Annahmen'!$C$158,M306))),IF('Annahmen'!$G$158="Endfällig",IF((20-(('Annahmen'!$I$158-2026)*12+'Annahmen'!$H$158-1)+1)=ROUND(('Annahmen'!$E$158)*12,0),(IF((20-(('Annahmen'!$I$158-2026)*12+'Annahmen'!$H$158-1)+1)=1,'Annahmen'!$C$158,M306)),0),MIN('Annahmen'!$C$158/(MAX(ROUND(('Annahmen'!$E$158)*12,0)-('Annahmen'!$F$158)*12,1)),(IF((20-(('Annahmen'!$I$158-2026)*12+'Annahmen'!$H$158-1)+1)=1,'Annahmen'!$C$158,M306)))))),0)</f>
      </c>
      <c r="N221" s="51">
        <f>IF(AND((20-(('Annahmen'!$I$159-2026)*12+'Annahmen'!$H$159-1)+1)&gt;=1,(20-(('Annahmen'!$I$159-2026)*12+'Annahmen'!$H$159-1)+1)&lt;=ROUND(('Annahmen'!$E$159)*12,0)),IF((20-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135,(IF((20-(('Annahmen'!$I$159-2026)*12+'Annahmen'!$H$159-1)+1)=1,'Annahmen'!$C$159,N306))),IF('Annahmen'!$G$159="Endfällig",IF((20-(('Annahmen'!$I$159-2026)*12+'Annahmen'!$H$159-1)+1)=ROUND(('Annahmen'!$E$159)*12,0),(IF((20-(('Annahmen'!$I$159-2026)*12+'Annahmen'!$H$159-1)+1)=1,'Annahmen'!$C$159,N306)),0),MIN('Annahmen'!$C$159/(MAX(ROUND(('Annahmen'!$E$159)*12,0)-('Annahmen'!$F$159)*12,1)),(IF((20-(('Annahmen'!$I$159-2026)*12+'Annahmen'!$H$159-1)+1)=1,'Annahmen'!$C$159,N306)))))),0)</f>
      </c>
      <c r="O221" s="114">
        <f>SUM(C221:N221)</f>
      </c>
    </row>
    <row r="222" ht="15" customHeight="1" hidden="1" spans="2:15" x14ac:dyDescent="0.25" outlineLevel="1" collapsed="1">
      <c r="B222" s="113" t="s">
        <v>242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f>IF(AND((21-(('Annahmen'!$I$155-2026)*12+'Annahmen'!$H$155-1)+1)&gt;=1,(21-(('Annahmen'!$I$155-2026)*12+'Annahmen'!$H$155-1)+1)&lt;=ROUND(('Annahmen'!$E$155)*12,0)),IF((21-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136,(IF((21-(('Annahmen'!$I$155-2026)*12+'Annahmen'!$H$155-1)+1)=1,'Annahmen'!$C$155,J307))),IF('Annahmen'!$G$155="Endfällig",IF((21-(('Annahmen'!$I$155-2026)*12+'Annahmen'!$H$155-1)+1)=ROUND(('Annahmen'!$E$155)*12,0),(IF((21-(('Annahmen'!$I$155-2026)*12+'Annahmen'!$H$155-1)+1)=1,'Annahmen'!$C$155,J307)),0),MIN('Annahmen'!$C$155/(MAX(ROUND(('Annahmen'!$E$155)*12,0)-('Annahmen'!$F$155)*12,1)),(IF((21-(('Annahmen'!$I$155-2026)*12+'Annahmen'!$H$155-1)+1)=1,'Annahmen'!$C$155,J307)))))),0)</f>
      </c>
      <c r="K222" s="51">
        <f>IF(AND((21-(('Annahmen'!$I$156-2026)*12+'Annahmen'!$H$156-1)+1)&gt;=1,(21-(('Annahmen'!$I$156-2026)*12+'Annahmen'!$H$156-1)+1)&lt;=ROUND(('Annahmen'!$E$156)*12,0)),IF((21-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136,(IF((21-(('Annahmen'!$I$156-2026)*12+'Annahmen'!$H$156-1)+1)=1,'Annahmen'!$C$156,K307))),IF('Annahmen'!$G$156="Endfällig",IF((21-(('Annahmen'!$I$156-2026)*12+'Annahmen'!$H$156-1)+1)=ROUND(('Annahmen'!$E$156)*12,0),(IF((21-(('Annahmen'!$I$156-2026)*12+'Annahmen'!$H$156-1)+1)=1,'Annahmen'!$C$156,K307)),0),MIN('Annahmen'!$C$156/(MAX(ROUND(('Annahmen'!$E$156)*12,0)-('Annahmen'!$F$156)*12,1)),(IF((21-(('Annahmen'!$I$156-2026)*12+'Annahmen'!$H$156-1)+1)=1,'Annahmen'!$C$156,K307)))))),0)</f>
      </c>
      <c r="L222" s="51">
        <f>IF(AND((21-(('Annahmen'!$I$157-2026)*12+'Annahmen'!$H$157-1)+1)&gt;=1,(21-(('Annahmen'!$I$157-2026)*12+'Annahmen'!$H$157-1)+1)&lt;=ROUND(('Annahmen'!$E$157)*12,0)),IF((21-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136,(IF((21-(('Annahmen'!$I$157-2026)*12+'Annahmen'!$H$157-1)+1)=1,'Annahmen'!$C$157,L307))),IF('Annahmen'!$G$157="Endfällig",IF((21-(('Annahmen'!$I$157-2026)*12+'Annahmen'!$H$157-1)+1)=ROUND(('Annahmen'!$E$157)*12,0),(IF((21-(('Annahmen'!$I$157-2026)*12+'Annahmen'!$H$157-1)+1)=1,'Annahmen'!$C$157,L307)),0),MIN('Annahmen'!$C$157/(MAX(ROUND(('Annahmen'!$E$157)*12,0)-('Annahmen'!$F$157)*12,1)),(IF((21-(('Annahmen'!$I$157-2026)*12+'Annahmen'!$H$157-1)+1)=1,'Annahmen'!$C$157,L307)))))),0)</f>
      </c>
      <c r="M222" s="51">
        <f>IF(AND((21-(('Annahmen'!$I$158-2026)*12+'Annahmen'!$H$158-1)+1)&gt;=1,(21-(('Annahmen'!$I$158-2026)*12+'Annahmen'!$H$158-1)+1)&lt;=ROUND(('Annahmen'!$E$158)*12,0)),IF((21-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136,(IF((21-(('Annahmen'!$I$158-2026)*12+'Annahmen'!$H$158-1)+1)=1,'Annahmen'!$C$158,M307))),IF('Annahmen'!$G$158="Endfällig",IF((21-(('Annahmen'!$I$158-2026)*12+'Annahmen'!$H$158-1)+1)=ROUND(('Annahmen'!$E$158)*12,0),(IF((21-(('Annahmen'!$I$158-2026)*12+'Annahmen'!$H$158-1)+1)=1,'Annahmen'!$C$158,M307)),0),MIN('Annahmen'!$C$158/(MAX(ROUND(('Annahmen'!$E$158)*12,0)-('Annahmen'!$F$158)*12,1)),(IF((21-(('Annahmen'!$I$158-2026)*12+'Annahmen'!$H$158-1)+1)=1,'Annahmen'!$C$158,M307)))))),0)</f>
      </c>
      <c r="N222" s="51">
        <f>IF(AND((21-(('Annahmen'!$I$159-2026)*12+'Annahmen'!$H$159-1)+1)&gt;=1,(21-(('Annahmen'!$I$159-2026)*12+'Annahmen'!$H$159-1)+1)&lt;=ROUND(('Annahmen'!$E$159)*12,0)),IF((21-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136,(IF((21-(('Annahmen'!$I$159-2026)*12+'Annahmen'!$H$159-1)+1)=1,'Annahmen'!$C$159,N307))),IF('Annahmen'!$G$159="Endfällig",IF((21-(('Annahmen'!$I$159-2026)*12+'Annahmen'!$H$159-1)+1)=ROUND(('Annahmen'!$E$159)*12,0),(IF((21-(('Annahmen'!$I$159-2026)*12+'Annahmen'!$H$159-1)+1)=1,'Annahmen'!$C$159,N307)),0),MIN('Annahmen'!$C$159/(MAX(ROUND(('Annahmen'!$E$159)*12,0)-('Annahmen'!$F$159)*12,1)),(IF((21-(('Annahmen'!$I$159-2026)*12+'Annahmen'!$H$159-1)+1)=1,'Annahmen'!$C$159,N307)))))),0)</f>
      </c>
      <c r="O222" s="114">
        <f>SUM(C222:N222)</f>
      </c>
    </row>
    <row r="223" ht="15" customHeight="1" hidden="1" spans="2:15" x14ac:dyDescent="0.25" outlineLevel="1" collapsed="1">
      <c r="B223" s="113" t="s">
        <v>243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f>IF(AND((22-(('Annahmen'!$I$155-2026)*12+'Annahmen'!$H$155-1)+1)&gt;=1,(22-(('Annahmen'!$I$155-2026)*12+'Annahmen'!$H$155-1)+1)&lt;=ROUND(('Annahmen'!$E$155)*12,0)),IF((22-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137,(IF((22-(('Annahmen'!$I$155-2026)*12+'Annahmen'!$H$155-1)+1)=1,'Annahmen'!$C$155,J308))),IF('Annahmen'!$G$155="Endfällig",IF((22-(('Annahmen'!$I$155-2026)*12+'Annahmen'!$H$155-1)+1)=ROUND(('Annahmen'!$E$155)*12,0),(IF((22-(('Annahmen'!$I$155-2026)*12+'Annahmen'!$H$155-1)+1)=1,'Annahmen'!$C$155,J308)),0),MIN('Annahmen'!$C$155/(MAX(ROUND(('Annahmen'!$E$155)*12,0)-('Annahmen'!$F$155)*12,1)),(IF((22-(('Annahmen'!$I$155-2026)*12+'Annahmen'!$H$155-1)+1)=1,'Annahmen'!$C$155,J308)))))),0)</f>
      </c>
      <c r="K223" s="51">
        <f>IF(AND((22-(('Annahmen'!$I$156-2026)*12+'Annahmen'!$H$156-1)+1)&gt;=1,(22-(('Annahmen'!$I$156-2026)*12+'Annahmen'!$H$156-1)+1)&lt;=ROUND(('Annahmen'!$E$156)*12,0)),IF((22-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137,(IF((22-(('Annahmen'!$I$156-2026)*12+'Annahmen'!$H$156-1)+1)=1,'Annahmen'!$C$156,K308))),IF('Annahmen'!$G$156="Endfällig",IF((22-(('Annahmen'!$I$156-2026)*12+'Annahmen'!$H$156-1)+1)=ROUND(('Annahmen'!$E$156)*12,0),(IF((22-(('Annahmen'!$I$156-2026)*12+'Annahmen'!$H$156-1)+1)=1,'Annahmen'!$C$156,K308)),0),MIN('Annahmen'!$C$156/(MAX(ROUND(('Annahmen'!$E$156)*12,0)-('Annahmen'!$F$156)*12,1)),(IF((22-(('Annahmen'!$I$156-2026)*12+'Annahmen'!$H$156-1)+1)=1,'Annahmen'!$C$156,K308)))))),0)</f>
      </c>
      <c r="L223" s="51">
        <f>IF(AND((22-(('Annahmen'!$I$157-2026)*12+'Annahmen'!$H$157-1)+1)&gt;=1,(22-(('Annahmen'!$I$157-2026)*12+'Annahmen'!$H$157-1)+1)&lt;=ROUND(('Annahmen'!$E$157)*12,0)),IF((22-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137,(IF((22-(('Annahmen'!$I$157-2026)*12+'Annahmen'!$H$157-1)+1)=1,'Annahmen'!$C$157,L308))),IF('Annahmen'!$G$157="Endfällig",IF((22-(('Annahmen'!$I$157-2026)*12+'Annahmen'!$H$157-1)+1)=ROUND(('Annahmen'!$E$157)*12,0),(IF((22-(('Annahmen'!$I$157-2026)*12+'Annahmen'!$H$157-1)+1)=1,'Annahmen'!$C$157,L308)),0),MIN('Annahmen'!$C$157/(MAX(ROUND(('Annahmen'!$E$157)*12,0)-('Annahmen'!$F$157)*12,1)),(IF((22-(('Annahmen'!$I$157-2026)*12+'Annahmen'!$H$157-1)+1)=1,'Annahmen'!$C$157,L308)))))),0)</f>
      </c>
      <c r="M223" s="51">
        <f>IF(AND((22-(('Annahmen'!$I$158-2026)*12+'Annahmen'!$H$158-1)+1)&gt;=1,(22-(('Annahmen'!$I$158-2026)*12+'Annahmen'!$H$158-1)+1)&lt;=ROUND(('Annahmen'!$E$158)*12,0)),IF((22-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137,(IF((22-(('Annahmen'!$I$158-2026)*12+'Annahmen'!$H$158-1)+1)=1,'Annahmen'!$C$158,M308))),IF('Annahmen'!$G$158="Endfällig",IF((22-(('Annahmen'!$I$158-2026)*12+'Annahmen'!$H$158-1)+1)=ROUND(('Annahmen'!$E$158)*12,0),(IF((22-(('Annahmen'!$I$158-2026)*12+'Annahmen'!$H$158-1)+1)=1,'Annahmen'!$C$158,M308)),0),MIN('Annahmen'!$C$158/(MAX(ROUND(('Annahmen'!$E$158)*12,0)-('Annahmen'!$F$158)*12,1)),(IF((22-(('Annahmen'!$I$158-2026)*12+'Annahmen'!$H$158-1)+1)=1,'Annahmen'!$C$158,M308)))))),0)</f>
      </c>
      <c r="N223" s="51">
        <f>IF(AND((22-(('Annahmen'!$I$159-2026)*12+'Annahmen'!$H$159-1)+1)&gt;=1,(22-(('Annahmen'!$I$159-2026)*12+'Annahmen'!$H$159-1)+1)&lt;=ROUND(('Annahmen'!$E$159)*12,0)),IF((22-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137,(IF((22-(('Annahmen'!$I$159-2026)*12+'Annahmen'!$H$159-1)+1)=1,'Annahmen'!$C$159,N308))),IF('Annahmen'!$G$159="Endfällig",IF((22-(('Annahmen'!$I$159-2026)*12+'Annahmen'!$H$159-1)+1)=ROUND(('Annahmen'!$E$159)*12,0),(IF((22-(('Annahmen'!$I$159-2026)*12+'Annahmen'!$H$159-1)+1)=1,'Annahmen'!$C$159,N308)),0),MIN('Annahmen'!$C$159/(MAX(ROUND(('Annahmen'!$E$159)*12,0)-('Annahmen'!$F$159)*12,1)),(IF((22-(('Annahmen'!$I$159-2026)*12+'Annahmen'!$H$159-1)+1)=1,'Annahmen'!$C$159,N308)))))),0)</f>
      </c>
      <c r="O223" s="114">
        <f>SUM(C223:N223)</f>
      </c>
    </row>
    <row r="224" ht="15" customHeight="1" hidden="1" spans="2:15" x14ac:dyDescent="0.25" outlineLevel="1" collapsed="1">
      <c r="B224" s="113" t="s">
        <v>244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f>IF(AND((23-(('Annahmen'!$I$155-2026)*12+'Annahmen'!$H$155-1)+1)&gt;=1,(23-(('Annahmen'!$I$155-2026)*12+'Annahmen'!$H$155-1)+1)&lt;=ROUND(('Annahmen'!$E$155)*12,0)),IF((23-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138,(IF((23-(('Annahmen'!$I$155-2026)*12+'Annahmen'!$H$155-1)+1)=1,'Annahmen'!$C$155,J309))),IF('Annahmen'!$G$155="Endfällig",IF((23-(('Annahmen'!$I$155-2026)*12+'Annahmen'!$H$155-1)+1)=ROUND(('Annahmen'!$E$155)*12,0),(IF((23-(('Annahmen'!$I$155-2026)*12+'Annahmen'!$H$155-1)+1)=1,'Annahmen'!$C$155,J309)),0),MIN('Annahmen'!$C$155/(MAX(ROUND(('Annahmen'!$E$155)*12,0)-('Annahmen'!$F$155)*12,1)),(IF((23-(('Annahmen'!$I$155-2026)*12+'Annahmen'!$H$155-1)+1)=1,'Annahmen'!$C$155,J309)))))),0)</f>
      </c>
      <c r="K224" s="51">
        <f>IF(AND((23-(('Annahmen'!$I$156-2026)*12+'Annahmen'!$H$156-1)+1)&gt;=1,(23-(('Annahmen'!$I$156-2026)*12+'Annahmen'!$H$156-1)+1)&lt;=ROUND(('Annahmen'!$E$156)*12,0)),IF((23-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138,(IF((23-(('Annahmen'!$I$156-2026)*12+'Annahmen'!$H$156-1)+1)=1,'Annahmen'!$C$156,K309))),IF('Annahmen'!$G$156="Endfällig",IF((23-(('Annahmen'!$I$156-2026)*12+'Annahmen'!$H$156-1)+1)=ROUND(('Annahmen'!$E$156)*12,0),(IF((23-(('Annahmen'!$I$156-2026)*12+'Annahmen'!$H$156-1)+1)=1,'Annahmen'!$C$156,K309)),0),MIN('Annahmen'!$C$156/(MAX(ROUND(('Annahmen'!$E$156)*12,0)-('Annahmen'!$F$156)*12,1)),(IF((23-(('Annahmen'!$I$156-2026)*12+'Annahmen'!$H$156-1)+1)=1,'Annahmen'!$C$156,K309)))))),0)</f>
      </c>
      <c r="L224" s="51">
        <f>IF(AND((23-(('Annahmen'!$I$157-2026)*12+'Annahmen'!$H$157-1)+1)&gt;=1,(23-(('Annahmen'!$I$157-2026)*12+'Annahmen'!$H$157-1)+1)&lt;=ROUND(('Annahmen'!$E$157)*12,0)),IF((23-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138,(IF((23-(('Annahmen'!$I$157-2026)*12+'Annahmen'!$H$157-1)+1)=1,'Annahmen'!$C$157,L309))),IF('Annahmen'!$G$157="Endfällig",IF((23-(('Annahmen'!$I$157-2026)*12+'Annahmen'!$H$157-1)+1)=ROUND(('Annahmen'!$E$157)*12,0),(IF((23-(('Annahmen'!$I$157-2026)*12+'Annahmen'!$H$157-1)+1)=1,'Annahmen'!$C$157,L309)),0),MIN('Annahmen'!$C$157/(MAX(ROUND(('Annahmen'!$E$157)*12,0)-('Annahmen'!$F$157)*12,1)),(IF((23-(('Annahmen'!$I$157-2026)*12+'Annahmen'!$H$157-1)+1)=1,'Annahmen'!$C$157,L309)))))),0)</f>
      </c>
      <c r="M224" s="51">
        <f>IF(AND((23-(('Annahmen'!$I$158-2026)*12+'Annahmen'!$H$158-1)+1)&gt;=1,(23-(('Annahmen'!$I$158-2026)*12+'Annahmen'!$H$158-1)+1)&lt;=ROUND(('Annahmen'!$E$158)*12,0)),IF((23-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138,(IF((23-(('Annahmen'!$I$158-2026)*12+'Annahmen'!$H$158-1)+1)=1,'Annahmen'!$C$158,M309))),IF('Annahmen'!$G$158="Endfällig",IF((23-(('Annahmen'!$I$158-2026)*12+'Annahmen'!$H$158-1)+1)=ROUND(('Annahmen'!$E$158)*12,0),(IF((23-(('Annahmen'!$I$158-2026)*12+'Annahmen'!$H$158-1)+1)=1,'Annahmen'!$C$158,M309)),0),MIN('Annahmen'!$C$158/(MAX(ROUND(('Annahmen'!$E$158)*12,0)-('Annahmen'!$F$158)*12,1)),(IF((23-(('Annahmen'!$I$158-2026)*12+'Annahmen'!$H$158-1)+1)=1,'Annahmen'!$C$158,M309)))))),0)</f>
      </c>
      <c r="N224" s="51">
        <f>IF(AND((23-(('Annahmen'!$I$159-2026)*12+'Annahmen'!$H$159-1)+1)&gt;=1,(23-(('Annahmen'!$I$159-2026)*12+'Annahmen'!$H$159-1)+1)&lt;=ROUND(('Annahmen'!$E$159)*12,0)),IF((23-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138,(IF((23-(('Annahmen'!$I$159-2026)*12+'Annahmen'!$H$159-1)+1)=1,'Annahmen'!$C$159,N309))),IF('Annahmen'!$G$159="Endfällig",IF((23-(('Annahmen'!$I$159-2026)*12+'Annahmen'!$H$159-1)+1)=ROUND(('Annahmen'!$E$159)*12,0),(IF((23-(('Annahmen'!$I$159-2026)*12+'Annahmen'!$H$159-1)+1)=1,'Annahmen'!$C$159,N309)),0),MIN('Annahmen'!$C$159/(MAX(ROUND(('Annahmen'!$E$159)*12,0)-('Annahmen'!$F$159)*12,1)),(IF((23-(('Annahmen'!$I$159-2026)*12+'Annahmen'!$H$159-1)+1)=1,'Annahmen'!$C$159,N309)))))),0)</f>
      </c>
      <c r="O224" s="114">
        <f>SUM(C224:N224)</f>
      </c>
    </row>
    <row r="225" ht="15" customHeight="1" hidden="1" spans="2:15" x14ac:dyDescent="0.25" outlineLevel="1" collapsed="1">
      <c r="B225" s="115" t="s">
        <v>245</v>
      </c>
      <c r="C225" s="23">
        <f>SUM(C213:C224)</f>
      </c>
      <c r="D225" s="23">
        <f>SUM(D213:D224)</f>
      </c>
      <c r="E225" s="23">
        <f>SUM(E213:E224)</f>
      </c>
      <c r="F225" s="23">
        <f>SUM(F213:F224)</f>
      </c>
      <c r="G225" s="23">
        <f>SUM(G213:G224)</f>
      </c>
      <c r="H225" s="23">
        <f>SUM(H213:H224)</f>
      </c>
      <c r="I225" s="23">
        <f>SUM(I213:I224)</f>
      </c>
      <c r="J225" s="23">
        <f>SUM(J213:J224)</f>
      </c>
      <c r="K225" s="23">
        <f>SUM(K213:K224)</f>
      </c>
      <c r="L225" s="23">
        <f>SUM(L213:L224)</f>
      </c>
      <c r="M225" s="23">
        <f>SUM(M213:M224)</f>
      </c>
      <c r="N225" s="23">
        <f>SUM(N213:N224)</f>
      </c>
      <c r="O225" s="116">
        <f>SUM(O213:O224)</f>
      </c>
    </row>
    <row r="226" ht="15" customHeight="1" hidden="1" spans="2:15" x14ac:dyDescent="0.25" outlineLevel="1" collapsed="1">
      <c r="B226" s="113" t="s">
        <v>246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f>IF(AND((24-(('Annahmen'!$I$155-2026)*12+'Annahmen'!$H$155-1)+1)&gt;=1,(24-(('Annahmen'!$I$155-2026)*12+'Annahmen'!$H$155-1)+1)&lt;=ROUND(('Annahmen'!$E$155)*12,0)),IF((24-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140,(IF((24-(('Annahmen'!$I$155-2026)*12+'Annahmen'!$H$155-1)+1)=1,'Annahmen'!$C$155,J310))),IF('Annahmen'!$G$155="Endfällig",IF((24-(('Annahmen'!$I$155-2026)*12+'Annahmen'!$H$155-1)+1)=ROUND(('Annahmen'!$E$155)*12,0),(IF((24-(('Annahmen'!$I$155-2026)*12+'Annahmen'!$H$155-1)+1)=1,'Annahmen'!$C$155,J310)),0),MIN('Annahmen'!$C$155/(MAX(ROUND(('Annahmen'!$E$155)*12,0)-('Annahmen'!$F$155)*12,1)),(IF((24-(('Annahmen'!$I$155-2026)*12+'Annahmen'!$H$155-1)+1)=1,'Annahmen'!$C$155,J310)))))),0)</f>
      </c>
      <c r="K226" s="51">
        <f>IF(AND((24-(('Annahmen'!$I$156-2026)*12+'Annahmen'!$H$156-1)+1)&gt;=1,(24-(('Annahmen'!$I$156-2026)*12+'Annahmen'!$H$156-1)+1)&lt;=ROUND(('Annahmen'!$E$156)*12,0)),IF((24-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140,(IF((24-(('Annahmen'!$I$156-2026)*12+'Annahmen'!$H$156-1)+1)=1,'Annahmen'!$C$156,K310))),IF('Annahmen'!$G$156="Endfällig",IF((24-(('Annahmen'!$I$156-2026)*12+'Annahmen'!$H$156-1)+1)=ROUND(('Annahmen'!$E$156)*12,0),(IF((24-(('Annahmen'!$I$156-2026)*12+'Annahmen'!$H$156-1)+1)=1,'Annahmen'!$C$156,K310)),0),MIN('Annahmen'!$C$156/(MAX(ROUND(('Annahmen'!$E$156)*12,0)-('Annahmen'!$F$156)*12,1)),(IF((24-(('Annahmen'!$I$156-2026)*12+'Annahmen'!$H$156-1)+1)=1,'Annahmen'!$C$156,K310)))))),0)</f>
      </c>
      <c r="L226" s="51">
        <f>IF(AND((24-(('Annahmen'!$I$157-2026)*12+'Annahmen'!$H$157-1)+1)&gt;=1,(24-(('Annahmen'!$I$157-2026)*12+'Annahmen'!$H$157-1)+1)&lt;=ROUND(('Annahmen'!$E$157)*12,0)),IF((24-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140,(IF((24-(('Annahmen'!$I$157-2026)*12+'Annahmen'!$H$157-1)+1)=1,'Annahmen'!$C$157,L310))),IF('Annahmen'!$G$157="Endfällig",IF((24-(('Annahmen'!$I$157-2026)*12+'Annahmen'!$H$157-1)+1)=ROUND(('Annahmen'!$E$157)*12,0),(IF((24-(('Annahmen'!$I$157-2026)*12+'Annahmen'!$H$157-1)+1)=1,'Annahmen'!$C$157,L310)),0),MIN('Annahmen'!$C$157/(MAX(ROUND(('Annahmen'!$E$157)*12,0)-('Annahmen'!$F$157)*12,1)),(IF((24-(('Annahmen'!$I$157-2026)*12+'Annahmen'!$H$157-1)+1)=1,'Annahmen'!$C$157,L310)))))),0)</f>
      </c>
      <c r="M226" s="51">
        <f>IF(AND((24-(('Annahmen'!$I$158-2026)*12+'Annahmen'!$H$158-1)+1)&gt;=1,(24-(('Annahmen'!$I$158-2026)*12+'Annahmen'!$H$158-1)+1)&lt;=ROUND(('Annahmen'!$E$158)*12,0)),IF((24-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140,(IF((24-(('Annahmen'!$I$158-2026)*12+'Annahmen'!$H$158-1)+1)=1,'Annahmen'!$C$158,M310))),IF('Annahmen'!$G$158="Endfällig",IF((24-(('Annahmen'!$I$158-2026)*12+'Annahmen'!$H$158-1)+1)=ROUND(('Annahmen'!$E$158)*12,0),(IF((24-(('Annahmen'!$I$158-2026)*12+'Annahmen'!$H$158-1)+1)=1,'Annahmen'!$C$158,M310)),0),MIN('Annahmen'!$C$158/(MAX(ROUND(('Annahmen'!$E$158)*12,0)-('Annahmen'!$F$158)*12,1)),(IF((24-(('Annahmen'!$I$158-2026)*12+'Annahmen'!$H$158-1)+1)=1,'Annahmen'!$C$158,M310)))))),0)</f>
      </c>
      <c r="N226" s="51">
        <f>IF(AND((24-(('Annahmen'!$I$159-2026)*12+'Annahmen'!$H$159-1)+1)&gt;=1,(24-(('Annahmen'!$I$159-2026)*12+'Annahmen'!$H$159-1)+1)&lt;=ROUND(('Annahmen'!$E$159)*12,0)),IF((24-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140,(IF((24-(('Annahmen'!$I$159-2026)*12+'Annahmen'!$H$159-1)+1)=1,'Annahmen'!$C$159,N310))),IF('Annahmen'!$G$159="Endfällig",IF((24-(('Annahmen'!$I$159-2026)*12+'Annahmen'!$H$159-1)+1)=ROUND(('Annahmen'!$E$159)*12,0),(IF((24-(('Annahmen'!$I$159-2026)*12+'Annahmen'!$H$159-1)+1)=1,'Annahmen'!$C$159,N310)),0),MIN('Annahmen'!$C$159/(MAX(ROUND(('Annahmen'!$E$159)*12,0)-('Annahmen'!$F$159)*12,1)),(IF((24-(('Annahmen'!$I$159-2026)*12+'Annahmen'!$H$159-1)+1)=1,'Annahmen'!$C$159,N310)))))),0)</f>
      </c>
      <c r="O226" s="114">
        <f>SUM(C226:N226)</f>
      </c>
    </row>
    <row r="227" ht="15" customHeight="1" hidden="1" spans="2:15" x14ac:dyDescent="0.25" outlineLevel="1" collapsed="1">
      <c r="B227" s="113" t="s">
        <v>247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0</v>
      </c>
      <c r="I227" s="51">
        <v>0</v>
      </c>
      <c r="J227" s="51">
        <f>IF(AND((25-(('Annahmen'!$I$155-2026)*12+'Annahmen'!$H$155-1)+1)&gt;=1,(25-(('Annahmen'!$I$155-2026)*12+'Annahmen'!$H$155-1)+1)&lt;=ROUND(('Annahmen'!$E$155)*12,0)),IF((25-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141,(IF((25-(('Annahmen'!$I$155-2026)*12+'Annahmen'!$H$155-1)+1)=1,'Annahmen'!$C$155,J312))),IF('Annahmen'!$G$155="Endfällig",IF((25-(('Annahmen'!$I$155-2026)*12+'Annahmen'!$H$155-1)+1)=ROUND(('Annahmen'!$E$155)*12,0),(IF((25-(('Annahmen'!$I$155-2026)*12+'Annahmen'!$H$155-1)+1)=1,'Annahmen'!$C$155,J312)),0),MIN('Annahmen'!$C$155/(MAX(ROUND(('Annahmen'!$E$155)*12,0)-('Annahmen'!$F$155)*12,1)),(IF((25-(('Annahmen'!$I$155-2026)*12+'Annahmen'!$H$155-1)+1)=1,'Annahmen'!$C$155,J312)))))),0)</f>
      </c>
      <c r="K227" s="51">
        <f>IF(AND((25-(('Annahmen'!$I$156-2026)*12+'Annahmen'!$H$156-1)+1)&gt;=1,(25-(('Annahmen'!$I$156-2026)*12+'Annahmen'!$H$156-1)+1)&lt;=ROUND(('Annahmen'!$E$156)*12,0)),IF((25-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141,(IF((25-(('Annahmen'!$I$156-2026)*12+'Annahmen'!$H$156-1)+1)=1,'Annahmen'!$C$156,K312))),IF('Annahmen'!$G$156="Endfällig",IF((25-(('Annahmen'!$I$156-2026)*12+'Annahmen'!$H$156-1)+1)=ROUND(('Annahmen'!$E$156)*12,0),(IF((25-(('Annahmen'!$I$156-2026)*12+'Annahmen'!$H$156-1)+1)=1,'Annahmen'!$C$156,K312)),0),MIN('Annahmen'!$C$156/(MAX(ROUND(('Annahmen'!$E$156)*12,0)-('Annahmen'!$F$156)*12,1)),(IF((25-(('Annahmen'!$I$156-2026)*12+'Annahmen'!$H$156-1)+1)=1,'Annahmen'!$C$156,K312)))))),0)</f>
      </c>
      <c r="L227" s="51">
        <f>IF(AND((25-(('Annahmen'!$I$157-2026)*12+'Annahmen'!$H$157-1)+1)&gt;=1,(25-(('Annahmen'!$I$157-2026)*12+'Annahmen'!$H$157-1)+1)&lt;=ROUND(('Annahmen'!$E$157)*12,0)),IF((25-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141,(IF((25-(('Annahmen'!$I$157-2026)*12+'Annahmen'!$H$157-1)+1)=1,'Annahmen'!$C$157,L312))),IF('Annahmen'!$G$157="Endfällig",IF((25-(('Annahmen'!$I$157-2026)*12+'Annahmen'!$H$157-1)+1)=ROUND(('Annahmen'!$E$157)*12,0),(IF((25-(('Annahmen'!$I$157-2026)*12+'Annahmen'!$H$157-1)+1)=1,'Annahmen'!$C$157,L312)),0),MIN('Annahmen'!$C$157/(MAX(ROUND(('Annahmen'!$E$157)*12,0)-('Annahmen'!$F$157)*12,1)),(IF((25-(('Annahmen'!$I$157-2026)*12+'Annahmen'!$H$157-1)+1)=1,'Annahmen'!$C$157,L312)))))),0)</f>
      </c>
      <c r="M227" s="51">
        <f>IF(AND((25-(('Annahmen'!$I$158-2026)*12+'Annahmen'!$H$158-1)+1)&gt;=1,(25-(('Annahmen'!$I$158-2026)*12+'Annahmen'!$H$158-1)+1)&lt;=ROUND(('Annahmen'!$E$158)*12,0)),IF((25-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141,(IF((25-(('Annahmen'!$I$158-2026)*12+'Annahmen'!$H$158-1)+1)=1,'Annahmen'!$C$158,M312))),IF('Annahmen'!$G$158="Endfällig",IF((25-(('Annahmen'!$I$158-2026)*12+'Annahmen'!$H$158-1)+1)=ROUND(('Annahmen'!$E$158)*12,0),(IF((25-(('Annahmen'!$I$158-2026)*12+'Annahmen'!$H$158-1)+1)=1,'Annahmen'!$C$158,M312)),0),MIN('Annahmen'!$C$158/(MAX(ROUND(('Annahmen'!$E$158)*12,0)-('Annahmen'!$F$158)*12,1)),(IF((25-(('Annahmen'!$I$158-2026)*12+'Annahmen'!$H$158-1)+1)=1,'Annahmen'!$C$158,M312)))))),0)</f>
      </c>
      <c r="N227" s="51">
        <f>IF(AND((25-(('Annahmen'!$I$159-2026)*12+'Annahmen'!$H$159-1)+1)&gt;=1,(25-(('Annahmen'!$I$159-2026)*12+'Annahmen'!$H$159-1)+1)&lt;=ROUND(('Annahmen'!$E$159)*12,0)),IF((25-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141,(IF((25-(('Annahmen'!$I$159-2026)*12+'Annahmen'!$H$159-1)+1)=1,'Annahmen'!$C$159,N312))),IF('Annahmen'!$G$159="Endfällig",IF((25-(('Annahmen'!$I$159-2026)*12+'Annahmen'!$H$159-1)+1)=ROUND(('Annahmen'!$E$159)*12,0),(IF((25-(('Annahmen'!$I$159-2026)*12+'Annahmen'!$H$159-1)+1)=1,'Annahmen'!$C$159,N312)),0),MIN('Annahmen'!$C$159/(MAX(ROUND(('Annahmen'!$E$159)*12,0)-('Annahmen'!$F$159)*12,1)),(IF((25-(('Annahmen'!$I$159-2026)*12+'Annahmen'!$H$159-1)+1)=1,'Annahmen'!$C$159,N312)))))),0)</f>
      </c>
      <c r="O227" s="114">
        <f>SUM(C227:N227)</f>
      </c>
    </row>
    <row r="228" ht="15" customHeight="1" hidden="1" spans="2:15" x14ac:dyDescent="0.25" outlineLevel="1" collapsed="1">
      <c r="B228" s="113" t="s">
        <v>248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f>IF(AND((26-(('Annahmen'!$I$155-2026)*12+'Annahmen'!$H$155-1)+1)&gt;=1,(26-(('Annahmen'!$I$155-2026)*12+'Annahmen'!$H$155-1)+1)&lt;=ROUND(('Annahmen'!$E$155)*12,0)),IF((26-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142,(IF((26-(('Annahmen'!$I$155-2026)*12+'Annahmen'!$H$155-1)+1)=1,'Annahmen'!$C$155,J313))),IF('Annahmen'!$G$155="Endfällig",IF((26-(('Annahmen'!$I$155-2026)*12+'Annahmen'!$H$155-1)+1)=ROUND(('Annahmen'!$E$155)*12,0),(IF((26-(('Annahmen'!$I$155-2026)*12+'Annahmen'!$H$155-1)+1)=1,'Annahmen'!$C$155,J313)),0),MIN('Annahmen'!$C$155/(MAX(ROUND(('Annahmen'!$E$155)*12,0)-('Annahmen'!$F$155)*12,1)),(IF((26-(('Annahmen'!$I$155-2026)*12+'Annahmen'!$H$155-1)+1)=1,'Annahmen'!$C$155,J313)))))),0)</f>
      </c>
      <c r="K228" s="51">
        <f>IF(AND((26-(('Annahmen'!$I$156-2026)*12+'Annahmen'!$H$156-1)+1)&gt;=1,(26-(('Annahmen'!$I$156-2026)*12+'Annahmen'!$H$156-1)+1)&lt;=ROUND(('Annahmen'!$E$156)*12,0)),IF((26-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142,(IF((26-(('Annahmen'!$I$156-2026)*12+'Annahmen'!$H$156-1)+1)=1,'Annahmen'!$C$156,K313))),IF('Annahmen'!$G$156="Endfällig",IF((26-(('Annahmen'!$I$156-2026)*12+'Annahmen'!$H$156-1)+1)=ROUND(('Annahmen'!$E$156)*12,0),(IF((26-(('Annahmen'!$I$156-2026)*12+'Annahmen'!$H$156-1)+1)=1,'Annahmen'!$C$156,K313)),0),MIN('Annahmen'!$C$156/(MAX(ROUND(('Annahmen'!$E$156)*12,0)-('Annahmen'!$F$156)*12,1)),(IF((26-(('Annahmen'!$I$156-2026)*12+'Annahmen'!$H$156-1)+1)=1,'Annahmen'!$C$156,K313)))))),0)</f>
      </c>
      <c r="L228" s="51">
        <f>IF(AND((26-(('Annahmen'!$I$157-2026)*12+'Annahmen'!$H$157-1)+1)&gt;=1,(26-(('Annahmen'!$I$157-2026)*12+'Annahmen'!$H$157-1)+1)&lt;=ROUND(('Annahmen'!$E$157)*12,0)),IF((26-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142,(IF((26-(('Annahmen'!$I$157-2026)*12+'Annahmen'!$H$157-1)+1)=1,'Annahmen'!$C$157,L313))),IF('Annahmen'!$G$157="Endfällig",IF((26-(('Annahmen'!$I$157-2026)*12+'Annahmen'!$H$157-1)+1)=ROUND(('Annahmen'!$E$157)*12,0),(IF((26-(('Annahmen'!$I$157-2026)*12+'Annahmen'!$H$157-1)+1)=1,'Annahmen'!$C$157,L313)),0),MIN('Annahmen'!$C$157/(MAX(ROUND(('Annahmen'!$E$157)*12,0)-('Annahmen'!$F$157)*12,1)),(IF((26-(('Annahmen'!$I$157-2026)*12+'Annahmen'!$H$157-1)+1)=1,'Annahmen'!$C$157,L313)))))),0)</f>
      </c>
      <c r="M228" s="51">
        <f>IF(AND((26-(('Annahmen'!$I$158-2026)*12+'Annahmen'!$H$158-1)+1)&gt;=1,(26-(('Annahmen'!$I$158-2026)*12+'Annahmen'!$H$158-1)+1)&lt;=ROUND(('Annahmen'!$E$158)*12,0)),IF((26-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142,(IF((26-(('Annahmen'!$I$158-2026)*12+'Annahmen'!$H$158-1)+1)=1,'Annahmen'!$C$158,M313))),IF('Annahmen'!$G$158="Endfällig",IF((26-(('Annahmen'!$I$158-2026)*12+'Annahmen'!$H$158-1)+1)=ROUND(('Annahmen'!$E$158)*12,0),(IF((26-(('Annahmen'!$I$158-2026)*12+'Annahmen'!$H$158-1)+1)=1,'Annahmen'!$C$158,M313)),0),MIN('Annahmen'!$C$158/(MAX(ROUND(('Annahmen'!$E$158)*12,0)-('Annahmen'!$F$158)*12,1)),(IF((26-(('Annahmen'!$I$158-2026)*12+'Annahmen'!$H$158-1)+1)=1,'Annahmen'!$C$158,M313)))))),0)</f>
      </c>
      <c r="N228" s="51">
        <f>IF(AND((26-(('Annahmen'!$I$159-2026)*12+'Annahmen'!$H$159-1)+1)&gt;=1,(26-(('Annahmen'!$I$159-2026)*12+'Annahmen'!$H$159-1)+1)&lt;=ROUND(('Annahmen'!$E$159)*12,0)),IF((26-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142,(IF((26-(('Annahmen'!$I$159-2026)*12+'Annahmen'!$H$159-1)+1)=1,'Annahmen'!$C$159,N313))),IF('Annahmen'!$G$159="Endfällig",IF((26-(('Annahmen'!$I$159-2026)*12+'Annahmen'!$H$159-1)+1)=ROUND(('Annahmen'!$E$159)*12,0),(IF((26-(('Annahmen'!$I$159-2026)*12+'Annahmen'!$H$159-1)+1)=1,'Annahmen'!$C$159,N313)),0),MIN('Annahmen'!$C$159/(MAX(ROUND(('Annahmen'!$E$159)*12,0)-('Annahmen'!$F$159)*12,1)),(IF((26-(('Annahmen'!$I$159-2026)*12+'Annahmen'!$H$159-1)+1)=1,'Annahmen'!$C$159,N313)))))),0)</f>
      </c>
      <c r="O228" s="114">
        <f>SUM(C228:N228)</f>
      </c>
    </row>
    <row r="229" ht="15" customHeight="1" hidden="1" spans="2:15" x14ac:dyDescent="0.25" outlineLevel="1" collapsed="1">
      <c r="B229" s="113" t="s">
        <v>249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f>IF(AND((27-(('Annahmen'!$I$155-2026)*12+'Annahmen'!$H$155-1)+1)&gt;=1,(27-(('Annahmen'!$I$155-2026)*12+'Annahmen'!$H$155-1)+1)&lt;=ROUND(('Annahmen'!$E$155)*12,0)),IF((27-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143,(IF((27-(('Annahmen'!$I$155-2026)*12+'Annahmen'!$H$155-1)+1)=1,'Annahmen'!$C$155,J314))),IF('Annahmen'!$G$155="Endfällig",IF((27-(('Annahmen'!$I$155-2026)*12+'Annahmen'!$H$155-1)+1)=ROUND(('Annahmen'!$E$155)*12,0),(IF((27-(('Annahmen'!$I$155-2026)*12+'Annahmen'!$H$155-1)+1)=1,'Annahmen'!$C$155,J314)),0),MIN('Annahmen'!$C$155/(MAX(ROUND(('Annahmen'!$E$155)*12,0)-('Annahmen'!$F$155)*12,1)),(IF((27-(('Annahmen'!$I$155-2026)*12+'Annahmen'!$H$155-1)+1)=1,'Annahmen'!$C$155,J314)))))),0)</f>
      </c>
      <c r="K229" s="51">
        <f>IF(AND((27-(('Annahmen'!$I$156-2026)*12+'Annahmen'!$H$156-1)+1)&gt;=1,(27-(('Annahmen'!$I$156-2026)*12+'Annahmen'!$H$156-1)+1)&lt;=ROUND(('Annahmen'!$E$156)*12,0)),IF((27-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143,(IF((27-(('Annahmen'!$I$156-2026)*12+'Annahmen'!$H$156-1)+1)=1,'Annahmen'!$C$156,K314))),IF('Annahmen'!$G$156="Endfällig",IF((27-(('Annahmen'!$I$156-2026)*12+'Annahmen'!$H$156-1)+1)=ROUND(('Annahmen'!$E$156)*12,0),(IF((27-(('Annahmen'!$I$156-2026)*12+'Annahmen'!$H$156-1)+1)=1,'Annahmen'!$C$156,K314)),0),MIN('Annahmen'!$C$156/(MAX(ROUND(('Annahmen'!$E$156)*12,0)-('Annahmen'!$F$156)*12,1)),(IF((27-(('Annahmen'!$I$156-2026)*12+'Annahmen'!$H$156-1)+1)=1,'Annahmen'!$C$156,K314)))))),0)</f>
      </c>
      <c r="L229" s="51">
        <f>IF(AND((27-(('Annahmen'!$I$157-2026)*12+'Annahmen'!$H$157-1)+1)&gt;=1,(27-(('Annahmen'!$I$157-2026)*12+'Annahmen'!$H$157-1)+1)&lt;=ROUND(('Annahmen'!$E$157)*12,0)),IF((27-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143,(IF((27-(('Annahmen'!$I$157-2026)*12+'Annahmen'!$H$157-1)+1)=1,'Annahmen'!$C$157,L314))),IF('Annahmen'!$G$157="Endfällig",IF((27-(('Annahmen'!$I$157-2026)*12+'Annahmen'!$H$157-1)+1)=ROUND(('Annahmen'!$E$157)*12,0),(IF((27-(('Annahmen'!$I$157-2026)*12+'Annahmen'!$H$157-1)+1)=1,'Annahmen'!$C$157,L314)),0),MIN('Annahmen'!$C$157/(MAX(ROUND(('Annahmen'!$E$157)*12,0)-('Annahmen'!$F$157)*12,1)),(IF((27-(('Annahmen'!$I$157-2026)*12+'Annahmen'!$H$157-1)+1)=1,'Annahmen'!$C$157,L314)))))),0)</f>
      </c>
      <c r="M229" s="51">
        <f>IF(AND((27-(('Annahmen'!$I$158-2026)*12+'Annahmen'!$H$158-1)+1)&gt;=1,(27-(('Annahmen'!$I$158-2026)*12+'Annahmen'!$H$158-1)+1)&lt;=ROUND(('Annahmen'!$E$158)*12,0)),IF((27-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143,(IF((27-(('Annahmen'!$I$158-2026)*12+'Annahmen'!$H$158-1)+1)=1,'Annahmen'!$C$158,M314))),IF('Annahmen'!$G$158="Endfällig",IF((27-(('Annahmen'!$I$158-2026)*12+'Annahmen'!$H$158-1)+1)=ROUND(('Annahmen'!$E$158)*12,0),(IF((27-(('Annahmen'!$I$158-2026)*12+'Annahmen'!$H$158-1)+1)=1,'Annahmen'!$C$158,M314)),0),MIN('Annahmen'!$C$158/(MAX(ROUND(('Annahmen'!$E$158)*12,0)-('Annahmen'!$F$158)*12,1)),(IF((27-(('Annahmen'!$I$158-2026)*12+'Annahmen'!$H$158-1)+1)=1,'Annahmen'!$C$158,M314)))))),0)</f>
      </c>
      <c r="N229" s="51">
        <f>IF(AND((27-(('Annahmen'!$I$159-2026)*12+'Annahmen'!$H$159-1)+1)&gt;=1,(27-(('Annahmen'!$I$159-2026)*12+'Annahmen'!$H$159-1)+1)&lt;=ROUND(('Annahmen'!$E$159)*12,0)),IF((27-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143,(IF((27-(('Annahmen'!$I$159-2026)*12+'Annahmen'!$H$159-1)+1)=1,'Annahmen'!$C$159,N314))),IF('Annahmen'!$G$159="Endfällig",IF((27-(('Annahmen'!$I$159-2026)*12+'Annahmen'!$H$159-1)+1)=ROUND(('Annahmen'!$E$159)*12,0),(IF((27-(('Annahmen'!$I$159-2026)*12+'Annahmen'!$H$159-1)+1)=1,'Annahmen'!$C$159,N314)),0),MIN('Annahmen'!$C$159/(MAX(ROUND(('Annahmen'!$E$159)*12,0)-('Annahmen'!$F$159)*12,1)),(IF((27-(('Annahmen'!$I$159-2026)*12+'Annahmen'!$H$159-1)+1)=1,'Annahmen'!$C$159,N314)))))),0)</f>
      </c>
      <c r="O229" s="114">
        <f>SUM(C229:N229)</f>
      </c>
    </row>
    <row r="230" ht="15" customHeight="1" hidden="1" spans="2:15" x14ac:dyDescent="0.25" outlineLevel="1" collapsed="1">
      <c r="B230" s="113" t="s">
        <v>250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f>IF(AND((28-(('Annahmen'!$I$155-2026)*12+'Annahmen'!$H$155-1)+1)&gt;=1,(28-(('Annahmen'!$I$155-2026)*12+'Annahmen'!$H$155-1)+1)&lt;=ROUND(('Annahmen'!$E$155)*12,0)),IF((28-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144,(IF((28-(('Annahmen'!$I$155-2026)*12+'Annahmen'!$H$155-1)+1)=1,'Annahmen'!$C$155,J315))),IF('Annahmen'!$G$155="Endfällig",IF((28-(('Annahmen'!$I$155-2026)*12+'Annahmen'!$H$155-1)+1)=ROUND(('Annahmen'!$E$155)*12,0),(IF((28-(('Annahmen'!$I$155-2026)*12+'Annahmen'!$H$155-1)+1)=1,'Annahmen'!$C$155,J315)),0),MIN('Annahmen'!$C$155/(MAX(ROUND(('Annahmen'!$E$155)*12,0)-('Annahmen'!$F$155)*12,1)),(IF((28-(('Annahmen'!$I$155-2026)*12+'Annahmen'!$H$155-1)+1)=1,'Annahmen'!$C$155,J315)))))),0)</f>
      </c>
      <c r="K230" s="51">
        <f>IF(AND((28-(('Annahmen'!$I$156-2026)*12+'Annahmen'!$H$156-1)+1)&gt;=1,(28-(('Annahmen'!$I$156-2026)*12+'Annahmen'!$H$156-1)+1)&lt;=ROUND(('Annahmen'!$E$156)*12,0)),IF((28-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144,(IF((28-(('Annahmen'!$I$156-2026)*12+'Annahmen'!$H$156-1)+1)=1,'Annahmen'!$C$156,K315))),IF('Annahmen'!$G$156="Endfällig",IF((28-(('Annahmen'!$I$156-2026)*12+'Annahmen'!$H$156-1)+1)=ROUND(('Annahmen'!$E$156)*12,0),(IF((28-(('Annahmen'!$I$156-2026)*12+'Annahmen'!$H$156-1)+1)=1,'Annahmen'!$C$156,K315)),0),MIN('Annahmen'!$C$156/(MAX(ROUND(('Annahmen'!$E$156)*12,0)-('Annahmen'!$F$156)*12,1)),(IF((28-(('Annahmen'!$I$156-2026)*12+'Annahmen'!$H$156-1)+1)=1,'Annahmen'!$C$156,K315)))))),0)</f>
      </c>
      <c r="L230" s="51">
        <f>IF(AND((28-(('Annahmen'!$I$157-2026)*12+'Annahmen'!$H$157-1)+1)&gt;=1,(28-(('Annahmen'!$I$157-2026)*12+'Annahmen'!$H$157-1)+1)&lt;=ROUND(('Annahmen'!$E$157)*12,0)),IF((28-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144,(IF((28-(('Annahmen'!$I$157-2026)*12+'Annahmen'!$H$157-1)+1)=1,'Annahmen'!$C$157,L315))),IF('Annahmen'!$G$157="Endfällig",IF((28-(('Annahmen'!$I$157-2026)*12+'Annahmen'!$H$157-1)+1)=ROUND(('Annahmen'!$E$157)*12,0),(IF((28-(('Annahmen'!$I$157-2026)*12+'Annahmen'!$H$157-1)+1)=1,'Annahmen'!$C$157,L315)),0),MIN('Annahmen'!$C$157/(MAX(ROUND(('Annahmen'!$E$157)*12,0)-('Annahmen'!$F$157)*12,1)),(IF((28-(('Annahmen'!$I$157-2026)*12+'Annahmen'!$H$157-1)+1)=1,'Annahmen'!$C$157,L315)))))),0)</f>
      </c>
      <c r="M230" s="51">
        <f>IF(AND((28-(('Annahmen'!$I$158-2026)*12+'Annahmen'!$H$158-1)+1)&gt;=1,(28-(('Annahmen'!$I$158-2026)*12+'Annahmen'!$H$158-1)+1)&lt;=ROUND(('Annahmen'!$E$158)*12,0)),IF((28-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144,(IF((28-(('Annahmen'!$I$158-2026)*12+'Annahmen'!$H$158-1)+1)=1,'Annahmen'!$C$158,M315))),IF('Annahmen'!$G$158="Endfällig",IF((28-(('Annahmen'!$I$158-2026)*12+'Annahmen'!$H$158-1)+1)=ROUND(('Annahmen'!$E$158)*12,0),(IF((28-(('Annahmen'!$I$158-2026)*12+'Annahmen'!$H$158-1)+1)=1,'Annahmen'!$C$158,M315)),0),MIN('Annahmen'!$C$158/(MAX(ROUND(('Annahmen'!$E$158)*12,0)-('Annahmen'!$F$158)*12,1)),(IF((28-(('Annahmen'!$I$158-2026)*12+'Annahmen'!$H$158-1)+1)=1,'Annahmen'!$C$158,M315)))))),0)</f>
      </c>
      <c r="N230" s="51">
        <f>IF(AND((28-(('Annahmen'!$I$159-2026)*12+'Annahmen'!$H$159-1)+1)&gt;=1,(28-(('Annahmen'!$I$159-2026)*12+'Annahmen'!$H$159-1)+1)&lt;=ROUND(('Annahmen'!$E$159)*12,0)),IF((28-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144,(IF((28-(('Annahmen'!$I$159-2026)*12+'Annahmen'!$H$159-1)+1)=1,'Annahmen'!$C$159,N315))),IF('Annahmen'!$G$159="Endfällig",IF((28-(('Annahmen'!$I$159-2026)*12+'Annahmen'!$H$159-1)+1)=ROUND(('Annahmen'!$E$159)*12,0),(IF((28-(('Annahmen'!$I$159-2026)*12+'Annahmen'!$H$159-1)+1)=1,'Annahmen'!$C$159,N315)),0),MIN('Annahmen'!$C$159/(MAX(ROUND(('Annahmen'!$E$159)*12,0)-('Annahmen'!$F$159)*12,1)),(IF((28-(('Annahmen'!$I$159-2026)*12+'Annahmen'!$H$159-1)+1)=1,'Annahmen'!$C$159,N315)))))),0)</f>
      </c>
      <c r="O230" s="114">
        <f>SUM(C230:N230)</f>
      </c>
    </row>
    <row r="231" ht="15" customHeight="1" hidden="1" spans="2:15" x14ac:dyDescent="0.25" outlineLevel="1" collapsed="1">
      <c r="B231" s="113" t="s">
        <v>251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f>IF(AND((29-(('Annahmen'!$I$155-2026)*12+'Annahmen'!$H$155-1)+1)&gt;=1,(29-(('Annahmen'!$I$155-2026)*12+'Annahmen'!$H$155-1)+1)&lt;=ROUND(('Annahmen'!$E$155)*12,0)),IF((29-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145,(IF((29-(('Annahmen'!$I$155-2026)*12+'Annahmen'!$H$155-1)+1)=1,'Annahmen'!$C$155,J316))),IF('Annahmen'!$G$155="Endfällig",IF((29-(('Annahmen'!$I$155-2026)*12+'Annahmen'!$H$155-1)+1)=ROUND(('Annahmen'!$E$155)*12,0),(IF((29-(('Annahmen'!$I$155-2026)*12+'Annahmen'!$H$155-1)+1)=1,'Annahmen'!$C$155,J316)),0),MIN('Annahmen'!$C$155/(MAX(ROUND(('Annahmen'!$E$155)*12,0)-('Annahmen'!$F$155)*12,1)),(IF((29-(('Annahmen'!$I$155-2026)*12+'Annahmen'!$H$155-1)+1)=1,'Annahmen'!$C$155,J316)))))),0)</f>
      </c>
      <c r="K231" s="51">
        <f>IF(AND((29-(('Annahmen'!$I$156-2026)*12+'Annahmen'!$H$156-1)+1)&gt;=1,(29-(('Annahmen'!$I$156-2026)*12+'Annahmen'!$H$156-1)+1)&lt;=ROUND(('Annahmen'!$E$156)*12,0)),IF((29-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145,(IF((29-(('Annahmen'!$I$156-2026)*12+'Annahmen'!$H$156-1)+1)=1,'Annahmen'!$C$156,K316))),IF('Annahmen'!$G$156="Endfällig",IF((29-(('Annahmen'!$I$156-2026)*12+'Annahmen'!$H$156-1)+1)=ROUND(('Annahmen'!$E$156)*12,0),(IF((29-(('Annahmen'!$I$156-2026)*12+'Annahmen'!$H$156-1)+1)=1,'Annahmen'!$C$156,K316)),0),MIN('Annahmen'!$C$156/(MAX(ROUND(('Annahmen'!$E$156)*12,0)-('Annahmen'!$F$156)*12,1)),(IF((29-(('Annahmen'!$I$156-2026)*12+'Annahmen'!$H$156-1)+1)=1,'Annahmen'!$C$156,K316)))))),0)</f>
      </c>
      <c r="L231" s="51">
        <f>IF(AND((29-(('Annahmen'!$I$157-2026)*12+'Annahmen'!$H$157-1)+1)&gt;=1,(29-(('Annahmen'!$I$157-2026)*12+'Annahmen'!$H$157-1)+1)&lt;=ROUND(('Annahmen'!$E$157)*12,0)),IF((29-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145,(IF((29-(('Annahmen'!$I$157-2026)*12+'Annahmen'!$H$157-1)+1)=1,'Annahmen'!$C$157,L316))),IF('Annahmen'!$G$157="Endfällig",IF((29-(('Annahmen'!$I$157-2026)*12+'Annahmen'!$H$157-1)+1)=ROUND(('Annahmen'!$E$157)*12,0),(IF((29-(('Annahmen'!$I$157-2026)*12+'Annahmen'!$H$157-1)+1)=1,'Annahmen'!$C$157,L316)),0),MIN('Annahmen'!$C$157/(MAX(ROUND(('Annahmen'!$E$157)*12,0)-('Annahmen'!$F$157)*12,1)),(IF((29-(('Annahmen'!$I$157-2026)*12+'Annahmen'!$H$157-1)+1)=1,'Annahmen'!$C$157,L316)))))),0)</f>
      </c>
      <c r="M231" s="51">
        <f>IF(AND((29-(('Annahmen'!$I$158-2026)*12+'Annahmen'!$H$158-1)+1)&gt;=1,(29-(('Annahmen'!$I$158-2026)*12+'Annahmen'!$H$158-1)+1)&lt;=ROUND(('Annahmen'!$E$158)*12,0)),IF((29-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145,(IF((29-(('Annahmen'!$I$158-2026)*12+'Annahmen'!$H$158-1)+1)=1,'Annahmen'!$C$158,M316))),IF('Annahmen'!$G$158="Endfällig",IF((29-(('Annahmen'!$I$158-2026)*12+'Annahmen'!$H$158-1)+1)=ROUND(('Annahmen'!$E$158)*12,0),(IF((29-(('Annahmen'!$I$158-2026)*12+'Annahmen'!$H$158-1)+1)=1,'Annahmen'!$C$158,M316)),0),MIN('Annahmen'!$C$158/(MAX(ROUND(('Annahmen'!$E$158)*12,0)-('Annahmen'!$F$158)*12,1)),(IF((29-(('Annahmen'!$I$158-2026)*12+'Annahmen'!$H$158-1)+1)=1,'Annahmen'!$C$158,M316)))))),0)</f>
      </c>
      <c r="N231" s="51">
        <f>IF(AND((29-(('Annahmen'!$I$159-2026)*12+'Annahmen'!$H$159-1)+1)&gt;=1,(29-(('Annahmen'!$I$159-2026)*12+'Annahmen'!$H$159-1)+1)&lt;=ROUND(('Annahmen'!$E$159)*12,0)),IF((29-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145,(IF((29-(('Annahmen'!$I$159-2026)*12+'Annahmen'!$H$159-1)+1)=1,'Annahmen'!$C$159,N316))),IF('Annahmen'!$G$159="Endfällig",IF((29-(('Annahmen'!$I$159-2026)*12+'Annahmen'!$H$159-1)+1)=ROUND(('Annahmen'!$E$159)*12,0),(IF((29-(('Annahmen'!$I$159-2026)*12+'Annahmen'!$H$159-1)+1)=1,'Annahmen'!$C$159,N316)),0),MIN('Annahmen'!$C$159/(MAX(ROUND(('Annahmen'!$E$159)*12,0)-('Annahmen'!$F$159)*12,1)),(IF((29-(('Annahmen'!$I$159-2026)*12+'Annahmen'!$H$159-1)+1)=1,'Annahmen'!$C$159,N316)))))),0)</f>
      </c>
      <c r="O231" s="114">
        <f>SUM(C231:N231)</f>
      </c>
    </row>
    <row r="232" ht="15" customHeight="1" hidden="1" spans="2:15" x14ac:dyDescent="0.25" outlineLevel="1" collapsed="1">
      <c r="B232" s="113" t="s">
        <v>252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f>IF(AND((30-(('Annahmen'!$I$155-2026)*12+'Annahmen'!$H$155-1)+1)&gt;=1,(30-(('Annahmen'!$I$155-2026)*12+'Annahmen'!$H$155-1)+1)&lt;=ROUND(('Annahmen'!$E$155)*12,0)),IF((30-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146,(IF((30-(('Annahmen'!$I$155-2026)*12+'Annahmen'!$H$155-1)+1)=1,'Annahmen'!$C$155,J317))),IF('Annahmen'!$G$155="Endfällig",IF((30-(('Annahmen'!$I$155-2026)*12+'Annahmen'!$H$155-1)+1)=ROUND(('Annahmen'!$E$155)*12,0),(IF((30-(('Annahmen'!$I$155-2026)*12+'Annahmen'!$H$155-1)+1)=1,'Annahmen'!$C$155,J317)),0),MIN('Annahmen'!$C$155/(MAX(ROUND(('Annahmen'!$E$155)*12,0)-('Annahmen'!$F$155)*12,1)),(IF((30-(('Annahmen'!$I$155-2026)*12+'Annahmen'!$H$155-1)+1)=1,'Annahmen'!$C$155,J317)))))),0)</f>
      </c>
      <c r="K232" s="51">
        <f>IF(AND((30-(('Annahmen'!$I$156-2026)*12+'Annahmen'!$H$156-1)+1)&gt;=1,(30-(('Annahmen'!$I$156-2026)*12+'Annahmen'!$H$156-1)+1)&lt;=ROUND(('Annahmen'!$E$156)*12,0)),IF((30-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146,(IF((30-(('Annahmen'!$I$156-2026)*12+'Annahmen'!$H$156-1)+1)=1,'Annahmen'!$C$156,K317))),IF('Annahmen'!$G$156="Endfällig",IF((30-(('Annahmen'!$I$156-2026)*12+'Annahmen'!$H$156-1)+1)=ROUND(('Annahmen'!$E$156)*12,0),(IF((30-(('Annahmen'!$I$156-2026)*12+'Annahmen'!$H$156-1)+1)=1,'Annahmen'!$C$156,K317)),0),MIN('Annahmen'!$C$156/(MAX(ROUND(('Annahmen'!$E$156)*12,0)-('Annahmen'!$F$156)*12,1)),(IF((30-(('Annahmen'!$I$156-2026)*12+'Annahmen'!$H$156-1)+1)=1,'Annahmen'!$C$156,K317)))))),0)</f>
      </c>
      <c r="L232" s="51">
        <f>IF(AND((30-(('Annahmen'!$I$157-2026)*12+'Annahmen'!$H$157-1)+1)&gt;=1,(30-(('Annahmen'!$I$157-2026)*12+'Annahmen'!$H$157-1)+1)&lt;=ROUND(('Annahmen'!$E$157)*12,0)),IF((30-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146,(IF((30-(('Annahmen'!$I$157-2026)*12+'Annahmen'!$H$157-1)+1)=1,'Annahmen'!$C$157,L317))),IF('Annahmen'!$G$157="Endfällig",IF((30-(('Annahmen'!$I$157-2026)*12+'Annahmen'!$H$157-1)+1)=ROUND(('Annahmen'!$E$157)*12,0),(IF((30-(('Annahmen'!$I$157-2026)*12+'Annahmen'!$H$157-1)+1)=1,'Annahmen'!$C$157,L317)),0),MIN('Annahmen'!$C$157/(MAX(ROUND(('Annahmen'!$E$157)*12,0)-('Annahmen'!$F$157)*12,1)),(IF((30-(('Annahmen'!$I$157-2026)*12+'Annahmen'!$H$157-1)+1)=1,'Annahmen'!$C$157,L317)))))),0)</f>
      </c>
      <c r="M232" s="51">
        <f>IF(AND((30-(('Annahmen'!$I$158-2026)*12+'Annahmen'!$H$158-1)+1)&gt;=1,(30-(('Annahmen'!$I$158-2026)*12+'Annahmen'!$H$158-1)+1)&lt;=ROUND(('Annahmen'!$E$158)*12,0)),IF((30-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146,(IF((30-(('Annahmen'!$I$158-2026)*12+'Annahmen'!$H$158-1)+1)=1,'Annahmen'!$C$158,M317))),IF('Annahmen'!$G$158="Endfällig",IF((30-(('Annahmen'!$I$158-2026)*12+'Annahmen'!$H$158-1)+1)=ROUND(('Annahmen'!$E$158)*12,0),(IF((30-(('Annahmen'!$I$158-2026)*12+'Annahmen'!$H$158-1)+1)=1,'Annahmen'!$C$158,M317)),0),MIN('Annahmen'!$C$158/(MAX(ROUND(('Annahmen'!$E$158)*12,0)-('Annahmen'!$F$158)*12,1)),(IF((30-(('Annahmen'!$I$158-2026)*12+'Annahmen'!$H$158-1)+1)=1,'Annahmen'!$C$158,M317)))))),0)</f>
      </c>
      <c r="N232" s="51">
        <f>IF(AND((30-(('Annahmen'!$I$159-2026)*12+'Annahmen'!$H$159-1)+1)&gt;=1,(30-(('Annahmen'!$I$159-2026)*12+'Annahmen'!$H$159-1)+1)&lt;=ROUND(('Annahmen'!$E$159)*12,0)),IF((30-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146,(IF((30-(('Annahmen'!$I$159-2026)*12+'Annahmen'!$H$159-1)+1)=1,'Annahmen'!$C$159,N317))),IF('Annahmen'!$G$159="Endfällig",IF((30-(('Annahmen'!$I$159-2026)*12+'Annahmen'!$H$159-1)+1)=ROUND(('Annahmen'!$E$159)*12,0),(IF((30-(('Annahmen'!$I$159-2026)*12+'Annahmen'!$H$159-1)+1)=1,'Annahmen'!$C$159,N317)),0),MIN('Annahmen'!$C$159/(MAX(ROUND(('Annahmen'!$E$159)*12,0)-('Annahmen'!$F$159)*12,1)),(IF((30-(('Annahmen'!$I$159-2026)*12+'Annahmen'!$H$159-1)+1)=1,'Annahmen'!$C$159,N317)))))),0)</f>
      </c>
      <c r="O232" s="114">
        <f>SUM(C232:N232)</f>
      </c>
    </row>
    <row r="233" ht="15" customHeight="1" hidden="1" spans="2:15" x14ac:dyDescent="0.25" outlineLevel="1" collapsed="1">
      <c r="B233" s="113" t="s">
        <v>253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f>IF(AND((31-(('Annahmen'!$I$155-2026)*12+'Annahmen'!$H$155-1)+1)&gt;=1,(31-(('Annahmen'!$I$155-2026)*12+'Annahmen'!$H$155-1)+1)&lt;=ROUND(('Annahmen'!$E$155)*12,0)),IF((31-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147,(IF((31-(('Annahmen'!$I$155-2026)*12+'Annahmen'!$H$155-1)+1)=1,'Annahmen'!$C$155,J318))),IF('Annahmen'!$G$155="Endfällig",IF((31-(('Annahmen'!$I$155-2026)*12+'Annahmen'!$H$155-1)+1)=ROUND(('Annahmen'!$E$155)*12,0),(IF((31-(('Annahmen'!$I$155-2026)*12+'Annahmen'!$H$155-1)+1)=1,'Annahmen'!$C$155,J318)),0),MIN('Annahmen'!$C$155/(MAX(ROUND(('Annahmen'!$E$155)*12,0)-('Annahmen'!$F$155)*12,1)),(IF((31-(('Annahmen'!$I$155-2026)*12+'Annahmen'!$H$155-1)+1)=1,'Annahmen'!$C$155,J318)))))),0)</f>
      </c>
      <c r="K233" s="51">
        <f>IF(AND((31-(('Annahmen'!$I$156-2026)*12+'Annahmen'!$H$156-1)+1)&gt;=1,(31-(('Annahmen'!$I$156-2026)*12+'Annahmen'!$H$156-1)+1)&lt;=ROUND(('Annahmen'!$E$156)*12,0)),IF((31-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147,(IF((31-(('Annahmen'!$I$156-2026)*12+'Annahmen'!$H$156-1)+1)=1,'Annahmen'!$C$156,K318))),IF('Annahmen'!$G$156="Endfällig",IF((31-(('Annahmen'!$I$156-2026)*12+'Annahmen'!$H$156-1)+1)=ROUND(('Annahmen'!$E$156)*12,0),(IF((31-(('Annahmen'!$I$156-2026)*12+'Annahmen'!$H$156-1)+1)=1,'Annahmen'!$C$156,K318)),0),MIN('Annahmen'!$C$156/(MAX(ROUND(('Annahmen'!$E$156)*12,0)-('Annahmen'!$F$156)*12,1)),(IF((31-(('Annahmen'!$I$156-2026)*12+'Annahmen'!$H$156-1)+1)=1,'Annahmen'!$C$156,K318)))))),0)</f>
      </c>
      <c r="L233" s="51">
        <f>IF(AND((31-(('Annahmen'!$I$157-2026)*12+'Annahmen'!$H$157-1)+1)&gt;=1,(31-(('Annahmen'!$I$157-2026)*12+'Annahmen'!$H$157-1)+1)&lt;=ROUND(('Annahmen'!$E$157)*12,0)),IF((31-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147,(IF((31-(('Annahmen'!$I$157-2026)*12+'Annahmen'!$H$157-1)+1)=1,'Annahmen'!$C$157,L318))),IF('Annahmen'!$G$157="Endfällig",IF((31-(('Annahmen'!$I$157-2026)*12+'Annahmen'!$H$157-1)+1)=ROUND(('Annahmen'!$E$157)*12,0),(IF((31-(('Annahmen'!$I$157-2026)*12+'Annahmen'!$H$157-1)+1)=1,'Annahmen'!$C$157,L318)),0),MIN('Annahmen'!$C$157/(MAX(ROUND(('Annahmen'!$E$157)*12,0)-('Annahmen'!$F$157)*12,1)),(IF((31-(('Annahmen'!$I$157-2026)*12+'Annahmen'!$H$157-1)+1)=1,'Annahmen'!$C$157,L318)))))),0)</f>
      </c>
      <c r="M233" s="51">
        <f>IF(AND((31-(('Annahmen'!$I$158-2026)*12+'Annahmen'!$H$158-1)+1)&gt;=1,(31-(('Annahmen'!$I$158-2026)*12+'Annahmen'!$H$158-1)+1)&lt;=ROUND(('Annahmen'!$E$158)*12,0)),IF((31-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147,(IF((31-(('Annahmen'!$I$158-2026)*12+'Annahmen'!$H$158-1)+1)=1,'Annahmen'!$C$158,M318))),IF('Annahmen'!$G$158="Endfällig",IF((31-(('Annahmen'!$I$158-2026)*12+'Annahmen'!$H$158-1)+1)=ROUND(('Annahmen'!$E$158)*12,0),(IF((31-(('Annahmen'!$I$158-2026)*12+'Annahmen'!$H$158-1)+1)=1,'Annahmen'!$C$158,M318)),0),MIN('Annahmen'!$C$158/(MAX(ROUND(('Annahmen'!$E$158)*12,0)-('Annahmen'!$F$158)*12,1)),(IF((31-(('Annahmen'!$I$158-2026)*12+'Annahmen'!$H$158-1)+1)=1,'Annahmen'!$C$158,M318)))))),0)</f>
      </c>
      <c r="N233" s="51">
        <f>IF(AND((31-(('Annahmen'!$I$159-2026)*12+'Annahmen'!$H$159-1)+1)&gt;=1,(31-(('Annahmen'!$I$159-2026)*12+'Annahmen'!$H$159-1)+1)&lt;=ROUND(('Annahmen'!$E$159)*12,0)),IF((31-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147,(IF((31-(('Annahmen'!$I$159-2026)*12+'Annahmen'!$H$159-1)+1)=1,'Annahmen'!$C$159,N318))),IF('Annahmen'!$G$159="Endfällig",IF((31-(('Annahmen'!$I$159-2026)*12+'Annahmen'!$H$159-1)+1)=ROUND(('Annahmen'!$E$159)*12,0),(IF((31-(('Annahmen'!$I$159-2026)*12+'Annahmen'!$H$159-1)+1)=1,'Annahmen'!$C$159,N318)),0),MIN('Annahmen'!$C$159/(MAX(ROUND(('Annahmen'!$E$159)*12,0)-('Annahmen'!$F$159)*12,1)),(IF((31-(('Annahmen'!$I$159-2026)*12+'Annahmen'!$H$159-1)+1)=1,'Annahmen'!$C$159,N318)))))),0)</f>
      </c>
      <c r="O233" s="114">
        <f>SUM(C233:N233)</f>
      </c>
    </row>
    <row r="234" ht="15" customHeight="1" hidden="1" spans="2:15" x14ac:dyDescent="0.25" outlineLevel="1" collapsed="1">
      <c r="B234" s="113" t="s">
        <v>254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f>IF(AND((32-(('Annahmen'!$I$155-2026)*12+'Annahmen'!$H$155-1)+1)&gt;=1,(32-(('Annahmen'!$I$155-2026)*12+'Annahmen'!$H$155-1)+1)&lt;=ROUND(('Annahmen'!$E$155)*12,0)),IF((32-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148,(IF((32-(('Annahmen'!$I$155-2026)*12+'Annahmen'!$H$155-1)+1)=1,'Annahmen'!$C$155,J319))),IF('Annahmen'!$G$155="Endfällig",IF((32-(('Annahmen'!$I$155-2026)*12+'Annahmen'!$H$155-1)+1)=ROUND(('Annahmen'!$E$155)*12,0),(IF((32-(('Annahmen'!$I$155-2026)*12+'Annahmen'!$H$155-1)+1)=1,'Annahmen'!$C$155,J319)),0),MIN('Annahmen'!$C$155/(MAX(ROUND(('Annahmen'!$E$155)*12,0)-('Annahmen'!$F$155)*12,1)),(IF((32-(('Annahmen'!$I$155-2026)*12+'Annahmen'!$H$155-1)+1)=1,'Annahmen'!$C$155,J319)))))),0)</f>
      </c>
      <c r="K234" s="51">
        <f>IF(AND((32-(('Annahmen'!$I$156-2026)*12+'Annahmen'!$H$156-1)+1)&gt;=1,(32-(('Annahmen'!$I$156-2026)*12+'Annahmen'!$H$156-1)+1)&lt;=ROUND(('Annahmen'!$E$156)*12,0)),IF((32-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148,(IF((32-(('Annahmen'!$I$156-2026)*12+'Annahmen'!$H$156-1)+1)=1,'Annahmen'!$C$156,K319))),IF('Annahmen'!$G$156="Endfällig",IF((32-(('Annahmen'!$I$156-2026)*12+'Annahmen'!$H$156-1)+1)=ROUND(('Annahmen'!$E$156)*12,0),(IF((32-(('Annahmen'!$I$156-2026)*12+'Annahmen'!$H$156-1)+1)=1,'Annahmen'!$C$156,K319)),0),MIN('Annahmen'!$C$156/(MAX(ROUND(('Annahmen'!$E$156)*12,0)-('Annahmen'!$F$156)*12,1)),(IF((32-(('Annahmen'!$I$156-2026)*12+'Annahmen'!$H$156-1)+1)=1,'Annahmen'!$C$156,K319)))))),0)</f>
      </c>
      <c r="L234" s="51">
        <f>IF(AND((32-(('Annahmen'!$I$157-2026)*12+'Annahmen'!$H$157-1)+1)&gt;=1,(32-(('Annahmen'!$I$157-2026)*12+'Annahmen'!$H$157-1)+1)&lt;=ROUND(('Annahmen'!$E$157)*12,0)),IF((32-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148,(IF((32-(('Annahmen'!$I$157-2026)*12+'Annahmen'!$H$157-1)+1)=1,'Annahmen'!$C$157,L319))),IF('Annahmen'!$G$157="Endfällig",IF((32-(('Annahmen'!$I$157-2026)*12+'Annahmen'!$H$157-1)+1)=ROUND(('Annahmen'!$E$157)*12,0),(IF((32-(('Annahmen'!$I$157-2026)*12+'Annahmen'!$H$157-1)+1)=1,'Annahmen'!$C$157,L319)),0),MIN('Annahmen'!$C$157/(MAX(ROUND(('Annahmen'!$E$157)*12,0)-('Annahmen'!$F$157)*12,1)),(IF((32-(('Annahmen'!$I$157-2026)*12+'Annahmen'!$H$157-1)+1)=1,'Annahmen'!$C$157,L319)))))),0)</f>
      </c>
      <c r="M234" s="51">
        <f>IF(AND((32-(('Annahmen'!$I$158-2026)*12+'Annahmen'!$H$158-1)+1)&gt;=1,(32-(('Annahmen'!$I$158-2026)*12+'Annahmen'!$H$158-1)+1)&lt;=ROUND(('Annahmen'!$E$158)*12,0)),IF((32-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148,(IF((32-(('Annahmen'!$I$158-2026)*12+'Annahmen'!$H$158-1)+1)=1,'Annahmen'!$C$158,M319))),IF('Annahmen'!$G$158="Endfällig",IF((32-(('Annahmen'!$I$158-2026)*12+'Annahmen'!$H$158-1)+1)=ROUND(('Annahmen'!$E$158)*12,0),(IF((32-(('Annahmen'!$I$158-2026)*12+'Annahmen'!$H$158-1)+1)=1,'Annahmen'!$C$158,M319)),0),MIN('Annahmen'!$C$158/(MAX(ROUND(('Annahmen'!$E$158)*12,0)-('Annahmen'!$F$158)*12,1)),(IF((32-(('Annahmen'!$I$158-2026)*12+'Annahmen'!$H$158-1)+1)=1,'Annahmen'!$C$158,M319)))))),0)</f>
      </c>
      <c r="N234" s="51">
        <f>IF(AND((32-(('Annahmen'!$I$159-2026)*12+'Annahmen'!$H$159-1)+1)&gt;=1,(32-(('Annahmen'!$I$159-2026)*12+'Annahmen'!$H$159-1)+1)&lt;=ROUND(('Annahmen'!$E$159)*12,0)),IF((32-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148,(IF((32-(('Annahmen'!$I$159-2026)*12+'Annahmen'!$H$159-1)+1)=1,'Annahmen'!$C$159,N319))),IF('Annahmen'!$G$159="Endfällig",IF((32-(('Annahmen'!$I$159-2026)*12+'Annahmen'!$H$159-1)+1)=ROUND(('Annahmen'!$E$159)*12,0),(IF((32-(('Annahmen'!$I$159-2026)*12+'Annahmen'!$H$159-1)+1)=1,'Annahmen'!$C$159,N319)),0),MIN('Annahmen'!$C$159/(MAX(ROUND(('Annahmen'!$E$159)*12,0)-('Annahmen'!$F$159)*12,1)),(IF((32-(('Annahmen'!$I$159-2026)*12+'Annahmen'!$H$159-1)+1)=1,'Annahmen'!$C$159,N319)))))),0)</f>
      </c>
      <c r="O234" s="114">
        <f>SUM(C234:N234)</f>
      </c>
    </row>
    <row r="235" ht="15" customHeight="1" hidden="1" spans="2:15" x14ac:dyDescent="0.25" outlineLevel="1" collapsed="1">
      <c r="B235" s="113" t="s">
        <v>255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f>IF(AND((33-(('Annahmen'!$I$155-2026)*12+'Annahmen'!$H$155-1)+1)&gt;=1,(33-(('Annahmen'!$I$155-2026)*12+'Annahmen'!$H$155-1)+1)&lt;=ROUND(('Annahmen'!$E$155)*12,0)),IF((33-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149,(IF((33-(('Annahmen'!$I$155-2026)*12+'Annahmen'!$H$155-1)+1)=1,'Annahmen'!$C$155,J320))),IF('Annahmen'!$G$155="Endfällig",IF((33-(('Annahmen'!$I$155-2026)*12+'Annahmen'!$H$155-1)+1)=ROUND(('Annahmen'!$E$155)*12,0),(IF((33-(('Annahmen'!$I$155-2026)*12+'Annahmen'!$H$155-1)+1)=1,'Annahmen'!$C$155,J320)),0),MIN('Annahmen'!$C$155/(MAX(ROUND(('Annahmen'!$E$155)*12,0)-('Annahmen'!$F$155)*12,1)),(IF((33-(('Annahmen'!$I$155-2026)*12+'Annahmen'!$H$155-1)+1)=1,'Annahmen'!$C$155,J320)))))),0)</f>
      </c>
      <c r="K235" s="51">
        <f>IF(AND((33-(('Annahmen'!$I$156-2026)*12+'Annahmen'!$H$156-1)+1)&gt;=1,(33-(('Annahmen'!$I$156-2026)*12+'Annahmen'!$H$156-1)+1)&lt;=ROUND(('Annahmen'!$E$156)*12,0)),IF((33-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149,(IF((33-(('Annahmen'!$I$156-2026)*12+'Annahmen'!$H$156-1)+1)=1,'Annahmen'!$C$156,K320))),IF('Annahmen'!$G$156="Endfällig",IF((33-(('Annahmen'!$I$156-2026)*12+'Annahmen'!$H$156-1)+1)=ROUND(('Annahmen'!$E$156)*12,0),(IF((33-(('Annahmen'!$I$156-2026)*12+'Annahmen'!$H$156-1)+1)=1,'Annahmen'!$C$156,K320)),0),MIN('Annahmen'!$C$156/(MAX(ROUND(('Annahmen'!$E$156)*12,0)-('Annahmen'!$F$156)*12,1)),(IF((33-(('Annahmen'!$I$156-2026)*12+'Annahmen'!$H$156-1)+1)=1,'Annahmen'!$C$156,K320)))))),0)</f>
      </c>
      <c r="L235" s="51">
        <f>IF(AND((33-(('Annahmen'!$I$157-2026)*12+'Annahmen'!$H$157-1)+1)&gt;=1,(33-(('Annahmen'!$I$157-2026)*12+'Annahmen'!$H$157-1)+1)&lt;=ROUND(('Annahmen'!$E$157)*12,0)),IF((33-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149,(IF((33-(('Annahmen'!$I$157-2026)*12+'Annahmen'!$H$157-1)+1)=1,'Annahmen'!$C$157,L320))),IF('Annahmen'!$G$157="Endfällig",IF((33-(('Annahmen'!$I$157-2026)*12+'Annahmen'!$H$157-1)+1)=ROUND(('Annahmen'!$E$157)*12,0),(IF((33-(('Annahmen'!$I$157-2026)*12+'Annahmen'!$H$157-1)+1)=1,'Annahmen'!$C$157,L320)),0),MIN('Annahmen'!$C$157/(MAX(ROUND(('Annahmen'!$E$157)*12,0)-('Annahmen'!$F$157)*12,1)),(IF((33-(('Annahmen'!$I$157-2026)*12+'Annahmen'!$H$157-1)+1)=1,'Annahmen'!$C$157,L320)))))),0)</f>
      </c>
      <c r="M235" s="51">
        <f>IF(AND((33-(('Annahmen'!$I$158-2026)*12+'Annahmen'!$H$158-1)+1)&gt;=1,(33-(('Annahmen'!$I$158-2026)*12+'Annahmen'!$H$158-1)+1)&lt;=ROUND(('Annahmen'!$E$158)*12,0)),IF((33-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149,(IF((33-(('Annahmen'!$I$158-2026)*12+'Annahmen'!$H$158-1)+1)=1,'Annahmen'!$C$158,M320))),IF('Annahmen'!$G$158="Endfällig",IF((33-(('Annahmen'!$I$158-2026)*12+'Annahmen'!$H$158-1)+1)=ROUND(('Annahmen'!$E$158)*12,0),(IF((33-(('Annahmen'!$I$158-2026)*12+'Annahmen'!$H$158-1)+1)=1,'Annahmen'!$C$158,M320)),0),MIN('Annahmen'!$C$158/(MAX(ROUND(('Annahmen'!$E$158)*12,0)-('Annahmen'!$F$158)*12,1)),(IF((33-(('Annahmen'!$I$158-2026)*12+'Annahmen'!$H$158-1)+1)=1,'Annahmen'!$C$158,M320)))))),0)</f>
      </c>
      <c r="N235" s="51">
        <f>IF(AND((33-(('Annahmen'!$I$159-2026)*12+'Annahmen'!$H$159-1)+1)&gt;=1,(33-(('Annahmen'!$I$159-2026)*12+'Annahmen'!$H$159-1)+1)&lt;=ROUND(('Annahmen'!$E$159)*12,0)),IF((33-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149,(IF((33-(('Annahmen'!$I$159-2026)*12+'Annahmen'!$H$159-1)+1)=1,'Annahmen'!$C$159,N320))),IF('Annahmen'!$G$159="Endfällig",IF((33-(('Annahmen'!$I$159-2026)*12+'Annahmen'!$H$159-1)+1)=ROUND(('Annahmen'!$E$159)*12,0),(IF((33-(('Annahmen'!$I$159-2026)*12+'Annahmen'!$H$159-1)+1)=1,'Annahmen'!$C$159,N320)),0),MIN('Annahmen'!$C$159/(MAX(ROUND(('Annahmen'!$E$159)*12,0)-('Annahmen'!$F$159)*12,1)),(IF((33-(('Annahmen'!$I$159-2026)*12+'Annahmen'!$H$159-1)+1)=1,'Annahmen'!$C$159,N320)))))),0)</f>
      </c>
      <c r="O235" s="114">
        <f>SUM(C235:N235)</f>
      </c>
    </row>
    <row r="236" ht="15" customHeight="1" hidden="1" spans="2:15" x14ac:dyDescent="0.25" outlineLevel="1" collapsed="1">
      <c r="B236" s="113" t="s">
        <v>256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f>IF(AND((34-(('Annahmen'!$I$155-2026)*12+'Annahmen'!$H$155-1)+1)&gt;=1,(34-(('Annahmen'!$I$155-2026)*12+'Annahmen'!$H$155-1)+1)&lt;=ROUND(('Annahmen'!$E$155)*12,0)),IF((34-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150,(IF((34-(('Annahmen'!$I$155-2026)*12+'Annahmen'!$H$155-1)+1)=1,'Annahmen'!$C$155,J321))),IF('Annahmen'!$G$155="Endfällig",IF((34-(('Annahmen'!$I$155-2026)*12+'Annahmen'!$H$155-1)+1)=ROUND(('Annahmen'!$E$155)*12,0),(IF((34-(('Annahmen'!$I$155-2026)*12+'Annahmen'!$H$155-1)+1)=1,'Annahmen'!$C$155,J321)),0),MIN('Annahmen'!$C$155/(MAX(ROUND(('Annahmen'!$E$155)*12,0)-('Annahmen'!$F$155)*12,1)),(IF((34-(('Annahmen'!$I$155-2026)*12+'Annahmen'!$H$155-1)+1)=1,'Annahmen'!$C$155,J321)))))),0)</f>
      </c>
      <c r="K236" s="51">
        <f>IF(AND((34-(('Annahmen'!$I$156-2026)*12+'Annahmen'!$H$156-1)+1)&gt;=1,(34-(('Annahmen'!$I$156-2026)*12+'Annahmen'!$H$156-1)+1)&lt;=ROUND(('Annahmen'!$E$156)*12,0)),IF((34-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150,(IF((34-(('Annahmen'!$I$156-2026)*12+'Annahmen'!$H$156-1)+1)=1,'Annahmen'!$C$156,K321))),IF('Annahmen'!$G$156="Endfällig",IF((34-(('Annahmen'!$I$156-2026)*12+'Annahmen'!$H$156-1)+1)=ROUND(('Annahmen'!$E$156)*12,0),(IF((34-(('Annahmen'!$I$156-2026)*12+'Annahmen'!$H$156-1)+1)=1,'Annahmen'!$C$156,K321)),0),MIN('Annahmen'!$C$156/(MAX(ROUND(('Annahmen'!$E$156)*12,0)-('Annahmen'!$F$156)*12,1)),(IF((34-(('Annahmen'!$I$156-2026)*12+'Annahmen'!$H$156-1)+1)=1,'Annahmen'!$C$156,K321)))))),0)</f>
      </c>
      <c r="L236" s="51">
        <f>IF(AND((34-(('Annahmen'!$I$157-2026)*12+'Annahmen'!$H$157-1)+1)&gt;=1,(34-(('Annahmen'!$I$157-2026)*12+'Annahmen'!$H$157-1)+1)&lt;=ROUND(('Annahmen'!$E$157)*12,0)),IF((34-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150,(IF((34-(('Annahmen'!$I$157-2026)*12+'Annahmen'!$H$157-1)+1)=1,'Annahmen'!$C$157,L321))),IF('Annahmen'!$G$157="Endfällig",IF((34-(('Annahmen'!$I$157-2026)*12+'Annahmen'!$H$157-1)+1)=ROUND(('Annahmen'!$E$157)*12,0),(IF((34-(('Annahmen'!$I$157-2026)*12+'Annahmen'!$H$157-1)+1)=1,'Annahmen'!$C$157,L321)),0),MIN('Annahmen'!$C$157/(MAX(ROUND(('Annahmen'!$E$157)*12,0)-('Annahmen'!$F$157)*12,1)),(IF((34-(('Annahmen'!$I$157-2026)*12+'Annahmen'!$H$157-1)+1)=1,'Annahmen'!$C$157,L321)))))),0)</f>
      </c>
      <c r="M236" s="51">
        <f>IF(AND((34-(('Annahmen'!$I$158-2026)*12+'Annahmen'!$H$158-1)+1)&gt;=1,(34-(('Annahmen'!$I$158-2026)*12+'Annahmen'!$H$158-1)+1)&lt;=ROUND(('Annahmen'!$E$158)*12,0)),IF((34-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150,(IF((34-(('Annahmen'!$I$158-2026)*12+'Annahmen'!$H$158-1)+1)=1,'Annahmen'!$C$158,M321))),IF('Annahmen'!$G$158="Endfällig",IF((34-(('Annahmen'!$I$158-2026)*12+'Annahmen'!$H$158-1)+1)=ROUND(('Annahmen'!$E$158)*12,0),(IF((34-(('Annahmen'!$I$158-2026)*12+'Annahmen'!$H$158-1)+1)=1,'Annahmen'!$C$158,M321)),0),MIN('Annahmen'!$C$158/(MAX(ROUND(('Annahmen'!$E$158)*12,0)-('Annahmen'!$F$158)*12,1)),(IF((34-(('Annahmen'!$I$158-2026)*12+'Annahmen'!$H$158-1)+1)=1,'Annahmen'!$C$158,M321)))))),0)</f>
      </c>
      <c r="N236" s="51">
        <f>IF(AND((34-(('Annahmen'!$I$159-2026)*12+'Annahmen'!$H$159-1)+1)&gt;=1,(34-(('Annahmen'!$I$159-2026)*12+'Annahmen'!$H$159-1)+1)&lt;=ROUND(('Annahmen'!$E$159)*12,0)),IF((34-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150,(IF((34-(('Annahmen'!$I$159-2026)*12+'Annahmen'!$H$159-1)+1)=1,'Annahmen'!$C$159,N321))),IF('Annahmen'!$G$159="Endfällig",IF((34-(('Annahmen'!$I$159-2026)*12+'Annahmen'!$H$159-1)+1)=ROUND(('Annahmen'!$E$159)*12,0),(IF((34-(('Annahmen'!$I$159-2026)*12+'Annahmen'!$H$159-1)+1)=1,'Annahmen'!$C$159,N321)),0),MIN('Annahmen'!$C$159/(MAX(ROUND(('Annahmen'!$E$159)*12,0)-('Annahmen'!$F$159)*12,1)),(IF((34-(('Annahmen'!$I$159-2026)*12+'Annahmen'!$H$159-1)+1)=1,'Annahmen'!$C$159,N321)))))),0)</f>
      </c>
      <c r="O236" s="114">
        <f>SUM(C236:N236)</f>
      </c>
    </row>
    <row r="237" ht="15" customHeight="1" hidden="1" spans="2:15" x14ac:dyDescent="0.25" outlineLevel="1" collapsed="1">
      <c r="B237" s="113" t="s">
        <v>257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f>IF(AND((35-(('Annahmen'!$I$155-2026)*12+'Annahmen'!$H$155-1)+1)&gt;=1,(35-(('Annahmen'!$I$155-2026)*12+'Annahmen'!$H$155-1)+1)&lt;=ROUND(('Annahmen'!$E$155)*12,0)),IF((35-(('Annahmen'!$I$155-2026)*12+'Annahmen'!$H$155-1)+1)&lt;=('Annahmen'!$F$155)*12,0,IF('Annahmen'!$G$155="Annuität",MIN((IF('Annahmen'!$D$155=0,'Annahmen'!$C$155/(MAX(ROUND(('Annahmen'!$E$155)*12,0)-('Annahmen'!$F$155)*12,1)),'Annahmen'!$C$155*(('Annahmen'!$D$155/12)*(1+('Annahmen'!$D$155/12))^(MAX(ROUND(('Annahmen'!$E$155)*12,0)-('Annahmen'!$F$155)*12,1)))/((1+('Annahmen'!$D$155/12))^(MAX(ROUND(('Annahmen'!$E$155)*12,0)-('Annahmen'!$F$155)*12,1))-1)))-J151,(IF((35-(('Annahmen'!$I$155-2026)*12+'Annahmen'!$H$155-1)+1)=1,'Annahmen'!$C$155,J322))),IF('Annahmen'!$G$155="Endfällig",IF((35-(('Annahmen'!$I$155-2026)*12+'Annahmen'!$H$155-1)+1)=ROUND(('Annahmen'!$E$155)*12,0),(IF((35-(('Annahmen'!$I$155-2026)*12+'Annahmen'!$H$155-1)+1)=1,'Annahmen'!$C$155,J322)),0),MIN('Annahmen'!$C$155/(MAX(ROUND(('Annahmen'!$E$155)*12,0)-('Annahmen'!$F$155)*12,1)),(IF((35-(('Annahmen'!$I$155-2026)*12+'Annahmen'!$H$155-1)+1)=1,'Annahmen'!$C$155,J322)))))),0)</f>
      </c>
      <c r="K237" s="51">
        <f>IF(AND((35-(('Annahmen'!$I$156-2026)*12+'Annahmen'!$H$156-1)+1)&gt;=1,(35-(('Annahmen'!$I$156-2026)*12+'Annahmen'!$H$156-1)+1)&lt;=ROUND(('Annahmen'!$E$156)*12,0)),IF((35-(('Annahmen'!$I$156-2026)*12+'Annahmen'!$H$156-1)+1)&lt;=('Annahmen'!$F$156)*12,0,IF('Annahmen'!$G$156="Annuität",MIN((IF('Annahmen'!$D$156=0,'Annahmen'!$C$156/(MAX(ROUND(('Annahmen'!$E$156)*12,0)-('Annahmen'!$F$156)*12,1)),'Annahmen'!$C$156*(('Annahmen'!$D$156/12)*(1+('Annahmen'!$D$156/12))^(MAX(ROUND(('Annahmen'!$E$156)*12,0)-('Annahmen'!$F$156)*12,1)))/((1+('Annahmen'!$D$156/12))^(MAX(ROUND(('Annahmen'!$E$156)*12,0)-('Annahmen'!$F$156)*12,1))-1)))-K151,(IF((35-(('Annahmen'!$I$156-2026)*12+'Annahmen'!$H$156-1)+1)=1,'Annahmen'!$C$156,K322))),IF('Annahmen'!$G$156="Endfällig",IF((35-(('Annahmen'!$I$156-2026)*12+'Annahmen'!$H$156-1)+1)=ROUND(('Annahmen'!$E$156)*12,0),(IF((35-(('Annahmen'!$I$156-2026)*12+'Annahmen'!$H$156-1)+1)=1,'Annahmen'!$C$156,K322)),0),MIN('Annahmen'!$C$156/(MAX(ROUND(('Annahmen'!$E$156)*12,0)-('Annahmen'!$F$156)*12,1)),(IF((35-(('Annahmen'!$I$156-2026)*12+'Annahmen'!$H$156-1)+1)=1,'Annahmen'!$C$156,K322)))))),0)</f>
      </c>
      <c r="L237" s="51">
        <f>IF(AND((35-(('Annahmen'!$I$157-2026)*12+'Annahmen'!$H$157-1)+1)&gt;=1,(35-(('Annahmen'!$I$157-2026)*12+'Annahmen'!$H$157-1)+1)&lt;=ROUND(('Annahmen'!$E$157)*12,0)),IF((35-(('Annahmen'!$I$157-2026)*12+'Annahmen'!$H$157-1)+1)&lt;=('Annahmen'!$F$157)*12,0,IF('Annahmen'!$G$157="Annuität",MIN((IF('Annahmen'!$D$157=0,'Annahmen'!$C$157/(MAX(ROUND(('Annahmen'!$E$157)*12,0)-('Annahmen'!$F$157)*12,1)),'Annahmen'!$C$157*(('Annahmen'!$D$157/12)*(1+('Annahmen'!$D$157/12))^(MAX(ROUND(('Annahmen'!$E$157)*12,0)-('Annahmen'!$F$157)*12,1)))/((1+('Annahmen'!$D$157/12))^(MAX(ROUND(('Annahmen'!$E$157)*12,0)-('Annahmen'!$F$157)*12,1))-1)))-L151,(IF((35-(('Annahmen'!$I$157-2026)*12+'Annahmen'!$H$157-1)+1)=1,'Annahmen'!$C$157,L322))),IF('Annahmen'!$G$157="Endfällig",IF((35-(('Annahmen'!$I$157-2026)*12+'Annahmen'!$H$157-1)+1)=ROUND(('Annahmen'!$E$157)*12,0),(IF((35-(('Annahmen'!$I$157-2026)*12+'Annahmen'!$H$157-1)+1)=1,'Annahmen'!$C$157,L322)),0),MIN('Annahmen'!$C$157/(MAX(ROUND(('Annahmen'!$E$157)*12,0)-('Annahmen'!$F$157)*12,1)),(IF((35-(('Annahmen'!$I$157-2026)*12+'Annahmen'!$H$157-1)+1)=1,'Annahmen'!$C$157,L322)))))),0)</f>
      </c>
      <c r="M237" s="51">
        <f>IF(AND((35-(('Annahmen'!$I$158-2026)*12+'Annahmen'!$H$158-1)+1)&gt;=1,(35-(('Annahmen'!$I$158-2026)*12+'Annahmen'!$H$158-1)+1)&lt;=ROUND(('Annahmen'!$E$158)*12,0)),IF((35-(('Annahmen'!$I$158-2026)*12+'Annahmen'!$H$158-1)+1)&lt;=('Annahmen'!$F$158)*12,0,IF('Annahmen'!$G$158="Annuität",MIN((IF('Annahmen'!$D$158=0,'Annahmen'!$C$158/(MAX(ROUND(('Annahmen'!$E$158)*12,0)-('Annahmen'!$F$158)*12,1)),'Annahmen'!$C$158*(('Annahmen'!$D$158/12)*(1+('Annahmen'!$D$158/12))^(MAX(ROUND(('Annahmen'!$E$158)*12,0)-('Annahmen'!$F$158)*12,1)))/((1+('Annahmen'!$D$158/12))^(MAX(ROUND(('Annahmen'!$E$158)*12,0)-('Annahmen'!$F$158)*12,1))-1)))-M151,(IF((35-(('Annahmen'!$I$158-2026)*12+'Annahmen'!$H$158-1)+1)=1,'Annahmen'!$C$158,M322))),IF('Annahmen'!$G$158="Endfällig",IF((35-(('Annahmen'!$I$158-2026)*12+'Annahmen'!$H$158-1)+1)=ROUND(('Annahmen'!$E$158)*12,0),(IF((35-(('Annahmen'!$I$158-2026)*12+'Annahmen'!$H$158-1)+1)=1,'Annahmen'!$C$158,M322)),0),MIN('Annahmen'!$C$158/(MAX(ROUND(('Annahmen'!$E$158)*12,0)-('Annahmen'!$F$158)*12,1)),(IF((35-(('Annahmen'!$I$158-2026)*12+'Annahmen'!$H$158-1)+1)=1,'Annahmen'!$C$158,M322)))))),0)</f>
      </c>
      <c r="N237" s="51">
        <f>IF(AND((35-(('Annahmen'!$I$159-2026)*12+'Annahmen'!$H$159-1)+1)&gt;=1,(35-(('Annahmen'!$I$159-2026)*12+'Annahmen'!$H$159-1)+1)&lt;=ROUND(('Annahmen'!$E$159)*12,0)),IF((35-(('Annahmen'!$I$159-2026)*12+'Annahmen'!$H$159-1)+1)&lt;=('Annahmen'!$F$159)*12,0,IF('Annahmen'!$G$159="Annuität",MIN((IF('Annahmen'!$D$159=0,'Annahmen'!$C$159/(MAX(ROUND(('Annahmen'!$E$159)*12,0)-('Annahmen'!$F$159)*12,1)),'Annahmen'!$C$159*(('Annahmen'!$D$159/12)*(1+('Annahmen'!$D$159/12))^(MAX(ROUND(('Annahmen'!$E$159)*12,0)-('Annahmen'!$F$159)*12,1)))/((1+('Annahmen'!$D$159/12))^(MAX(ROUND(('Annahmen'!$E$159)*12,0)-('Annahmen'!$F$159)*12,1))-1)))-N151,(IF((35-(('Annahmen'!$I$159-2026)*12+'Annahmen'!$H$159-1)+1)=1,'Annahmen'!$C$159,N322))),IF('Annahmen'!$G$159="Endfällig",IF((35-(('Annahmen'!$I$159-2026)*12+'Annahmen'!$H$159-1)+1)=ROUND(('Annahmen'!$E$159)*12,0),(IF((35-(('Annahmen'!$I$159-2026)*12+'Annahmen'!$H$159-1)+1)=1,'Annahmen'!$C$159,N322)),0),MIN('Annahmen'!$C$159/(MAX(ROUND(('Annahmen'!$E$159)*12,0)-('Annahmen'!$F$159)*12,1)),(IF((35-(('Annahmen'!$I$159-2026)*12+'Annahmen'!$H$159-1)+1)=1,'Annahmen'!$C$159,N322)))))),0)</f>
      </c>
      <c r="O237" s="114">
        <f>SUM(C237:N237)</f>
      </c>
    </row>
    <row r="238" ht="15" customHeight="1" hidden="1" spans="2:15" x14ac:dyDescent="0.25" outlineLevel="1" collapsed="1">
      <c r="B238" s="115" t="s">
        <v>258</v>
      </c>
      <c r="C238" s="23">
        <f>SUM(C226:C237)</f>
      </c>
      <c r="D238" s="23">
        <f>SUM(D226:D237)</f>
      </c>
      <c r="E238" s="23">
        <f>SUM(E226:E237)</f>
      </c>
      <c r="F238" s="23">
        <f>SUM(F226:F237)</f>
      </c>
      <c r="G238" s="23">
        <f>SUM(G226:G237)</f>
      </c>
      <c r="H238" s="23">
        <f>SUM(H226:H237)</f>
      </c>
      <c r="I238" s="23">
        <f>SUM(I226:I237)</f>
      </c>
      <c r="J238" s="23">
        <f>SUM(J226:J237)</f>
      </c>
      <c r="K238" s="23">
        <f>SUM(K226:K237)</f>
      </c>
      <c r="L238" s="23">
        <f>SUM(L226:L237)</f>
      </c>
      <c r="M238" s="23">
        <f>SUM(M226:M237)</f>
      </c>
      <c r="N238" s="23">
        <f>SUM(N226:N237)</f>
      </c>
      <c r="O238" s="116">
        <f>SUM(O226:O237)</f>
      </c>
    </row>
    <row r="239" ht="18" customHeight="1" hidden="1" spans="2:15" x14ac:dyDescent="0.25" outlineLevel="1" collapsed="1">
      <c r="B239" s="117" t="s">
        <v>426</v>
      </c>
      <c r="C239" s="118">
        <f>C212+C225+C238</f>
      </c>
      <c r="D239" s="118">
        <f>D212+D225+D238</f>
      </c>
      <c r="E239" s="118">
        <f>E212+E225+E238</f>
      </c>
      <c r="F239" s="118">
        <f>F212+F225+F238</f>
      </c>
      <c r="G239" s="118">
        <f>G212+G225+G238</f>
      </c>
      <c r="H239" s="118">
        <f>H212+H225+H238</f>
      </c>
      <c r="I239" s="118">
        <f>I212+I225+I238</f>
      </c>
      <c r="J239" s="118">
        <f>J212+J225+J238</f>
      </c>
      <c r="K239" s="118">
        <f>K212+K225+K238</f>
      </c>
      <c r="L239" s="118">
        <f>L212+L225+L238</f>
      </c>
      <c r="M239" s="118">
        <f>M212+M225+M238</f>
      </c>
      <c r="N239" s="118">
        <f>N212+N225+N238</f>
      </c>
      <c r="O239" s="119">
        <f>O212+O225+O238</f>
      </c>
    </row>
    <row r="240" ht="15" customHeight="1" hidden="1" x14ac:dyDescent="0.25" outlineLevel="1" collapsed="1"/>
    <row r="241" ht="18" customHeight="1" hidden="1" spans="2:2" x14ac:dyDescent="0.25" outlineLevel="1" collapsed="1">
      <c r="B241" s="109" t="s">
        <v>427</v>
      </c>
    </row>
    <row r="242" ht="24" customHeight="1" hidden="1" spans="2:15" x14ac:dyDescent="0.25" outlineLevel="1" collapsed="1">
      <c r="B242" s="110" t="s">
        <v>101</v>
      </c>
      <c r="C242" s="111" t="s">
        <v>188</v>
      </c>
      <c r="D242" s="111" t="s">
        <v>189</v>
      </c>
      <c r="E242" s="111" t="s">
        <v>190</v>
      </c>
      <c r="F242" s="111" t="s">
        <v>191</v>
      </c>
      <c r="G242" s="111" t="s">
        <v>192</v>
      </c>
      <c r="H242" s="111" t="s">
        <v>194</v>
      </c>
      <c r="I242" s="111" t="s">
        <v>195</v>
      </c>
      <c r="J242" s="111" t="s">
        <v>199</v>
      </c>
      <c r="K242" s="111" t="s">
        <v>200</v>
      </c>
      <c r="L242" s="111" t="s">
        <v>201</v>
      </c>
      <c r="M242" s="111" t="s">
        <v>202</v>
      </c>
      <c r="N242" s="111" t="s">
        <v>204</v>
      </c>
      <c r="O242" s="112" t="s">
        <v>134</v>
      </c>
    </row>
    <row r="243" ht="15" customHeight="1" hidden="1" spans="2:15" x14ac:dyDescent="0.25" outlineLevel="1" collapsed="1">
      <c r="B243" s="113" t="s">
        <v>220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f>IF((0-(('Annahmen'!$I$155-2026)*12+'Annahmen'!$H$155-1)+1)=1,'Annahmen'!$C$155,0)</f>
      </c>
      <c r="K243" s="51">
        <f>IF((0-(('Annahmen'!$I$156-2026)*12+'Annahmen'!$H$156-1)+1)=1,'Annahmen'!$C$156,0)</f>
      </c>
      <c r="L243" s="51">
        <f>IF((0-(('Annahmen'!$I$157-2026)*12+'Annahmen'!$H$157-1)+1)=1,'Annahmen'!$C$157,0)</f>
      </c>
      <c r="M243" s="51">
        <f>IF((0-(('Annahmen'!$I$158-2026)*12+'Annahmen'!$H$158-1)+1)=1,'Annahmen'!$C$158,0)</f>
      </c>
      <c r="N243" s="51">
        <f>IF((0-(('Annahmen'!$I$159-2026)*12+'Annahmen'!$H$159-1)+1)=1,'Annahmen'!$C$159,0)</f>
      </c>
      <c r="O243" s="114">
        <f>SUM(C243:N243)</f>
      </c>
    </row>
    <row r="244" ht="15" customHeight="1" hidden="1" spans="2:15" x14ac:dyDescent="0.25" outlineLevel="1" collapsed="1">
      <c r="B244" s="113" t="s">
        <v>221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f>IF((1-(('Annahmen'!$I$155-2026)*12+'Annahmen'!$H$155-1)+1)=1,'Annahmen'!$C$155,0)</f>
      </c>
      <c r="K244" s="51">
        <f>IF((1-(('Annahmen'!$I$156-2026)*12+'Annahmen'!$H$156-1)+1)=1,'Annahmen'!$C$156,0)</f>
      </c>
      <c r="L244" s="51">
        <f>IF((1-(('Annahmen'!$I$157-2026)*12+'Annahmen'!$H$157-1)+1)=1,'Annahmen'!$C$157,0)</f>
      </c>
      <c r="M244" s="51">
        <f>IF((1-(('Annahmen'!$I$158-2026)*12+'Annahmen'!$H$158-1)+1)=1,'Annahmen'!$C$158,0)</f>
      </c>
      <c r="N244" s="51">
        <f>IF((1-(('Annahmen'!$I$159-2026)*12+'Annahmen'!$H$159-1)+1)=1,'Annahmen'!$C$159,0)</f>
      </c>
      <c r="O244" s="114">
        <f>SUM(C244:N244)</f>
      </c>
    </row>
    <row r="245" ht="15" customHeight="1" hidden="1" spans="2:15" x14ac:dyDescent="0.25" outlineLevel="1" collapsed="1">
      <c r="B245" s="113" t="s">
        <v>222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f>IF((2-(('Annahmen'!$I$155-2026)*12+'Annahmen'!$H$155-1)+1)=1,'Annahmen'!$C$155,0)</f>
      </c>
      <c r="K245" s="51">
        <f>IF((2-(('Annahmen'!$I$156-2026)*12+'Annahmen'!$H$156-1)+1)=1,'Annahmen'!$C$156,0)</f>
      </c>
      <c r="L245" s="51">
        <f>IF((2-(('Annahmen'!$I$157-2026)*12+'Annahmen'!$H$157-1)+1)=1,'Annahmen'!$C$157,0)</f>
      </c>
      <c r="M245" s="51">
        <f>IF((2-(('Annahmen'!$I$158-2026)*12+'Annahmen'!$H$158-1)+1)=1,'Annahmen'!$C$158,0)</f>
      </c>
      <c r="N245" s="51">
        <f>IF((2-(('Annahmen'!$I$159-2026)*12+'Annahmen'!$H$159-1)+1)=1,'Annahmen'!$C$159,0)</f>
      </c>
      <c r="O245" s="114">
        <f>SUM(C245:N245)</f>
      </c>
    </row>
    <row r="246" ht="15" customHeight="1" hidden="1" spans="2:15" x14ac:dyDescent="0.25" outlineLevel="1" collapsed="1">
      <c r="B246" s="113" t="s">
        <v>223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f>IF((3-(('Annahmen'!$I$155-2026)*12+'Annahmen'!$H$155-1)+1)=1,'Annahmen'!$C$155,0)</f>
      </c>
      <c r="K246" s="51">
        <f>IF((3-(('Annahmen'!$I$156-2026)*12+'Annahmen'!$H$156-1)+1)=1,'Annahmen'!$C$156,0)</f>
      </c>
      <c r="L246" s="51">
        <f>IF((3-(('Annahmen'!$I$157-2026)*12+'Annahmen'!$H$157-1)+1)=1,'Annahmen'!$C$157,0)</f>
      </c>
      <c r="M246" s="51">
        <f>IF((3-(('Annahmen'!$I$158-2026)*12+'Annahmen'!$H$158-1)+1)=1,'Annahmen'!$C$158,0)</f>
      </c>
      <c r="N246" s="51">
        <f>IF((3-(('Annahmen'!$I$159-2026)*12+'Annahmen'!$H$159-1)+1)=1,'Annahmen'!$C$159,0)</f>
      </c>
      <c r="O246" s="114">
        <f>SUM(C246:N246)</f>
      </c>
    </row>
    <row r="247" ht="15" customHeight="1" hidden="1" spans="2:15" x14ac:dyDescent="0.25" outlineLevel="1" collapsed="1">
      <c r="B247" s="113" t="s">
        <v>224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f>IF((4-(('Annahmen'!$I$155-2026)*12+'Annahmen'!$H$155-1)+1)=1,'Annahmen'!$C$155,0)</f>
      </c>
      <c r="K247" s="51">
        <f>IF((4-(('Annahmen'!$I$156-2026)*12+'Annahmen'!$H$156-1)+1)=1,'Annahmen'!$C$156,0)</f>
      </c>
      <c r="L247" s="51">
        <f>IF((4-(('Annahmen'!$I$157-2026)*12+'Annahmen'!$H$157-1)+1)=1,'Annahmen'!$C$157,0)</f>
      </c>
      <c r="M247" s="51">
        <f>IF((4-(('Annahmen'!$I$158-2026)*12+'Annahmen'!$H$158-1)+1)=1,'Annahmen'!$C$158,0)</f>
      </c>
      <c r="N247" s="51">
        <f>IF((4-(('Annahmen'!$I$159-2026)*12+'Annahmen'!$H$159-1)+1)=1,'Annahmen'!$C$159,0)</f>
      </c>
      <c r="O247" s="114">
        <f>SUM(C247:N247)</f>
      </c>
    </row>
    <row r="248" ht="15" customHeight="1" hidden="1" spans="2:15" x14ac:dyDescent="0.25" outlineLevel="1" collapsed="1">
      <c r="B248" s="113" t="s">
        <v>225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f>IF((5-(('Annahmen'!$I$155-2026)*12+'Annahmen'!$H$155-1)+1)=1,'Annahmen'!$C$155,0)</f>
      </c>
      <c r="K248" s="51">
        <f>IF((5-(('Annahmen'!$I$156-2026)*12+'Annahmen'!$H$156-1)+1)=1,'Annahmen'!$C$156,0)</f>
      </c>
      <c r="L248" s="51">
        <f>IF((5-(('Annahmen'!$I$157-2026)*12+'Annahmen'!$H$157-1)+1)=1,'Annahmen'!$C$157,0)</f>
      </c>
      <c r="M248" s="51">
        <f>IF((5-(('Annahmen'!$I$158-2026)*12+'Annahmen'!$H$158-1)+1)=1,'Annahmen'!$C$158,0)</f>
      </c>
      <c r="N248" s="51">
        <f>IF((5-(('Annahmen'!$I$159-2026)*12+'Annahmen'!$H$159-1)+1)=1,'Annahmen'!$C$159,0)</f>
      </c>
      <c r="O248" s="114">
        <f>SUM(C248:N248)</f>
      </c>
    </row>
    <row r="249" ht="15" customHeight="1" hidden="1" spans="2:15" x14ac:dyDescent="0.25" outlineLevel="1" collapsed="1">
      <c r="B249" s="113" t="s">
        <v>226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f>IF((6-(('Annahmen'!$I$155-2026)*12+'Annahmen'!$H$155-1)+1)=1,'Annahmen'!$C$155,0)</f>
      </c>
      <c r="K249" s="51">
        <f>IF((6-(('Annahmen'!$I$156-2026)*12+'Annahmen'!$H$156-1)+1)=1,'Annahmen'!$C$156,0)</f>
      </c>
      <c r="L249" s="51">
        <f>IF((6-(('Annahmen'!$I$157-2026)*12+'Annahmen'!$H$157-1)+1)=1,'Annahmen'!$C$157,0)</f>
      </c>
      <c r="M249" s="51">
        <f>IF((6-(('Annahmen'!$I$158-2026)*12+'Annahmen'!$H$158-1)+1)=1,'Annahmen'!$C$158,0)</f>
      </c>
      <c r="N249" s="51">
        <f>IF((6-(('Annahmen'!$I$159-2026)*12+'Annahmen'!$H$159-1)+1)=1,'Annahmen'!$C$159,0)</f>
      </c>
      <c r="O249" s="114">
        <f>SUM(C249:N249)</f>
      </c>
    </row>
    <row r="250" ht="15" customHeight="1" hidden="1" spans="2:15" x14ac:dyDescent="0.25" outlineLevel="1" collapsed="1">
      <c r="B250" s="113" t="s">
        <v>227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f>IF((7-(('Annahmen'!$I$155-2026)*12+'Annahmen'!$H$155-1)+1)=1,'Annahmen'!$C$155,0)</f>
      </c>
      <c r="K250" s="51">
        <f>IF((7-(('Annahmen'!$I$156-2026)*12+'Annahmen'!$H$156-1)+1)=1,'Annahmen'!$C$156,0)</f>
      </c>
      <c r="L250" s="51">
        <f>IF((7-(('Annahmen'!$I$157-2026)*12+'Annahmen'!$H$157-1)+1)=1,'Annahmen'!$C$157,0)</f>
      </c>
      <c r="M250" s="51">
        <f>IF((7-(('Annahmen'!$I$158-2026)*12+'Annahmen'!$H$158-1)+1)=1,'Annahmen'!$C$158,0)</f>
      </c>
      <c r="N250" s="51">
        <f>IF((7-(('Annahmen'!$I$159-2026)*12+'Annahmen'!$H$159-1)+1)=1,'Annahmen'!$C$159,0)</f>
      </c>
      <c r="O250" s="114">
        <f>SUM(C250:N250)</f>
      </c>
    </row>
    <row r="251" ht="15" customHeight="1" hidden="1" spans="2:15" x14ac:dyDescent="0.25" outlineLevel="1" collapsed="1">
      <c r="B251" s="113" t="s">
        <v>228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f>IF((8-(('Annahmen'!$I$155-2026)*12+'Annahmen'!$H$155-1)+1)=1,'Annahmen'!$C$155,0)</f>
      </c>
      <c r="K251" s="51">
        <f>IF((8-(('Annahmen'!$I$156-2026)*12+'Annahmen'!$H$156-1)+1)=1,'Annahmen'!$C$156,0)</f>
      </c>
      <c r="L251" s="51">
        <f>IF((8-(('Annahmen'!$I$157-2026)*12+'Annahmen'!$H$157-1)+1)=1,'Annahmen'!$C$157,0)</f>
      </c>
      <c r="M251" s="51">
        <f>IF((8-(('Annahmen'!$I$158-2026)*12+'Annahmen'!$H$158-1)+1)=1,'Annahmen'!$C$158,0)</f>
      </c>
      <c r="N251" s="51">
        <f>IF((8-(('Annahmen'!$I$159-2026)*12+'Annahmen'!$H$159-1)+1)=1,'Annahmen'!$C$159,0)</f>
      </c>
      <c r="O251" s="114">
        <f>SUM(C251:N251)</f>
      </c>
    </row>
    <row r="252" ht="15" customHeight="1" hidden="1" spans="2:15" x14ac:dyDescent="0.25" outlineLevel="1" collapsed="1">
      <c r="B252" s="113" t="s">
        <v>229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f>IF((9-(('Annahmen'!$I$155-2026)*12+'Annahmen'!$H$155-1)+1)=1,'Annahmen'!$C$155,0)</f>
      </c>
      <c r="K252" s="51">
        <f>IF((9-(('Annahmen'!$I$156-2026)*12+'Annahmen'!$H$156-1)+1)=1,'Annahmen'!$C$156,0)</f>
      </c>
      <c r="L252" s="51">
        <f>IF((9-(('Annahmen'!$I$157-2026)*12+'Annahmen'!$H$157-1)+1)=1,'Annahmen'!$C$157,0)</f>
      </c>
      <c r="M252" s="51">
        <f>IF((9-(('Annahmen'!$I$158-2026)*12+'Annahmen'!$H$158-1)+1)=1,'Annahmen'!$C$158,0)</f>
      </c>
      <c r="N252" s="51">
        <f>IF((9-(('Annahmen'!$I$159-2026)*12+'Annahmen'!$H$159-1)+1)=1,'Annahmen'!$C$159,0)</f>
      </c>
      <c r="O252" s="114">
        <f>SUM(C252:N252)</f>
      </c>
    </row>
    <row r="253" ht="15" customHeight="1" hidden="1" spans="2:15" x14ac:dyDescent="0.25" outlineLevel="1" collapsed="1">
      <c r="B253" s="113" t="s">
        <v>230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f>IF((10-(('Annahmen'!$I$155-2026)*12+'Annahmen'!$H$155-1)+1)=1,'Annahmen'!$C$155,0)</f>
      </c>
      <c r="K253" s="51">
        <f>IF((10-(('Annahmen'!$I$156-2026)*12+'Annahmen'!$H$156-1)+1)=1,'Annahmen'!$C$156,0)</f>
      </c>
      <c r="L253" s="51">
        <f>IF((10-(('Annahmen'!$I$157-2026)*12+'Annahmen'!$H$157-1)+1)=1,'Annahmen'!$C$157,0)</f>
      </c>
      <c r="M253" s="51">
        <f>IF((10-(('Annahmen'!$I$158-2026)*12+'Annahmen'!$H$158-1)+1)=1,'Annahmen'!$C$158,0)</f>
      </c>
      <c r="N253" s="51">
        <f>IF((10-(('Annahmen'!$I$159-2026)*12+'Annahmen'!$H$159-1)+1)=1,'Annahmen'!$C$159,0)</f>
      </c>
      <c r="O253" s="114">
        <f>SUM(C253:N253)</f>
      </c>
    </row>
    <row r="254" ht="15" customHeight="1" hidden="1" spans="2:15" x14ac:dyDescent="0.25" outlineLevel="1" collapsed="1">
      <c r="B254" s="113" t="s">
        <v>231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f>IF((11-(('Annahmen'!$I$155-2026)*12+'Annahmen'!$H$155-1)+1)=1,'Annahmen'!$C$155,0)</f>
      </c>
      <c r="K254" s="51">
        <f>IF((11-(('Annahmen'!$I$156-2026)*12+'Annahmen'!$H$156-1)+1)=1,'Annahmen'!$C$156,0)</f>
      </c>
      <c r="L254" s="51">
        <f>IF((11-(('Annahmen'!$I$157-2026)*12+'Annahmen'!$H$157-1)+1)=1,'Annahmen'!$C$157,0)</f>
      </c>
      <c r="M254" s="51">
        <f>IF((11-(('Annahmen'!$I$158-2026)*12+'Annahmen'!$H$158-1)+1)=1,'Annahmen'!$C$158,0)</f>
      </c>
      <c r="N254" s="51">
        <f>IF((11-(('Annahmen'!$I$159-2026)*12+'Annahmen'!$H$159-1)+1)=1,'Annahmen'!$C$159,0)</f>
      </c>
      <c r="O254" s="114">
        <f>SUM(C254:N254)</f>
      </c>
    </row>
    <row r="255" ht="15" customHeight="1" hidden="1" spans="2:15" x14ac:dyDescent="0.25" outlineLevel="1" collapsed="1">
      <c r="B255" s="115" t="s">
        <v>232</v>
      </c>
      <c r="C255" s="23">
        <f>SUM(C243:C254)</f>
      </c>
      <c r="D255" s="23">
        <f>SUM(D243:D254)</f>
      </c>
      <c r="E255" s="23">
        <f>SUM(E243:E254)</f>
      </c>
      <c r="F255" s="23">
        <f>SUM(F243:F254)</f>
      </c>
      <c r="G255" s="23">
        <f>SUM(G243:G254)</f>
      </c>
      <c r="H255" s="23">
        <f>SUM(H243:H254)</f>
      </c>
      <c r="I255" s="23">
        <f>SUM(I243:I254)</f>
      </c>
      <c r="J255" s="23">
        <f>SUM(J243:J254)</f>
      </c>
      <c r="K255" s="23">
        <f>SUM(K243:K254)</f>
      </c>
      <c r="L255" s="23">
        <f>SUM(L243:L254)</f>
      </c>
      <c r="M255" s="23">
        <f>SUM(M243:M254)</f>
      </c>
      <c r="N255" s="23">
        <f>SUM(N243:N254)</f>
      </c>
      <c r="O255" s="116">
        <f>SUM(O243:O254)</f>
      </c>
    </row>
    <row r="256" ht="15" customHeight="1" hidden="1" spans="2:15" x14ac:dyDescent="0.25" outlineLevel="1" collapsed="1">
      <c r="B256" s="113" t="s">
        <v>233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f>IF((12-(('Annahmen'!$I$155-2026)*12+'Annahmen'!$H$155-1)+1)=1,'Annahmen'!$C$155,0)</f>
      </c>
      <c r="K256" s="51">
        <f>IF((12-(('Annahmen'!$I$156-2026)*12+'Annahmen'!$H$156-1)+1)=1,'Annahmen'!$C$156,0)</f>
      </c>
      <c r="L256" s="51">
        <f>IF((12-(('Annahmen'!$I$157-2026)*12+'Annahmen'!$H$157-1)+1)=1,'Annahmen'!$C$157,0)</f>
      </c>
      <c r="M256" s="51">
        <f>IF((12-(('Annahmen'!$I$158-2026)*12+'Annahmen'!$H$158-1)+1)=1,'Annahmen'!$C$158,0)</f>
      </c>
      <c r="N256" s="51">
        <f>IF((12-(('Annahmen'!$I$159-2026)*12+'Annahmen'!$H$159-1)+1)=1,'Annahmen'!$C$159,0)</f>
      </c>
      <c r="O256" s="114">
        <f>SUM(C256:N256)</f>
      </c>
    </row>
    <row r="257" ht="15" customHeight="1" hidden="1" spans="2:15" x14ac:dyDescent="0.25" outlineLevel="1" collapsed="1">
      <c r="B257" s="113" t="s">
        <v>234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f>IF((13-(('Annahmen'!$I$155-2026)*12+'Annahmen'!$H$155-1)+1)=1,'Annahmen'!$C$155,0)</f>
      </c>
      <c r="K257" s="51">
        <f>IF((13-(('Annahmen'!$I$156-2026)*12+'Annahmen'!$H$156-1)+1)=1,'Annahmen'!$C$156,0)</f>
      </c>
      <c r="L257" s="51">
        <f>IF((13-(('Annahmen'!$I$157-2026)*12+'Annahmen'!$H$157-1)+1)=1,'Annahmen'!$C$157,0)</f>
      </c>
      <c r="M257" s="51">
        <f>IF((13-(('Annahmen'!$I$158-2026)*12+'Annahmen'!$H$158-1)+1)=1,'Annahmen'!$C$158,0)</f>
      </c>
      <c r="N257" s="51">
        <f>IF((13-(('Annahmen'!$I$159-2026)*12+'Annahmen'!$H$159-1)+1)=1,'Annahmen'!$C$159,0)</f>
      </c>
      <c r="O257" s="114">
        <f>SUM(C257:N257)</f>
      </c>
    </row>
    <row r="258" ht="15" customHeight="1" hidden="1" spans="2:15" x14ac:dyDescent="0.25" outlineLevel="1" collapsed="1">
      <c r="B258" s="113" t="s">
        <v>235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f>IF((14-(('Annahmen'!$I$155-2026)*12+'Annahmen'!$H$155-1)+1)=1,'Annahmen'!$C$155,0)</f>
      </c>
      <c r="K258" s="51">
        <f>IF((14-(('Annahmen'!$I$156-2026)*12+'Annahmen'!$H$156-1)+1)=1,'Annahmen'!$C$156,0)</f>
      </c>
      <c r="L258" s="51">
        <f>IF((14-(('Annahmen'!$I$157-2026)*12+'Annahmen'!$H$157-1)+1)=1,'Annahmen'!$C$157,0)</f>
      </c>
      <c r="M258" s="51">
        <f>IF((14-(('Annahmen'!$I$158-2026)*12+'Annahmen'!$H$158-1)+1)=1,'Annahmen'!$C$158,0)</f>
      </c>
      <c r="N258" s="51">
        <f>IF((14-(('Annahmen'!$I$159-2026)*12+'Annahmen'!$H$159-1)+1)=1,'Annahmen'!$C$159,0)</f>
      </c>
      <c r="O258" s="114">
        <f>SUM(C258:N258)</f>
      </c>
    </row>
    <row r="259" ht="15" customHeight="1" hidden="1" spans="2:15" x14ac:dyDescent="0.25" outlineLevel="1" collapsed="1">
      <c r="B259" s="113" t="s">
        <v>236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f>IF((15-(('Annahmen'!$I$155-2026)*12+'Annahmen'!$H$155-1)+1)=1,'Annahmen'!$C$155,0)</f>
      </c>
      <c r="K259" s="51">
        <f>IF((15-(('Annahmen'!$I$156-2026)*12+'Annahmen'!$H$156-1)+1)=1,'Annahmen'!$C$156,0)</f>
      </c>
      <c r="L259" s="51">
        <f>IF((15-(('Annahmen'!$I$157-2026)*12+'Annahmen'!$H$157-1)+1)=1,'Annahmen'!$C$157,0)</f>
      </c>
      <c r="M259" s="51">
        <f>IF((15-(('Annahmen'!$I$158-2026)*12+'Annahmen'!$H$158-1)+1)=1,'Annahmen'!$C$158,0)</f>
      </c>
      <c r="N259" s="51">
        <f>IF((15-(('Annahmen'!$I$159-2026)*12+'Annahmen'!$H$159-1)+1)=1,'Annahmen'!$C$159,0)</f>
      </c>
      <c r="O259" s="114">
        <f>SUM(C259:N259)</f>
      </c>
    </row>
    <row r="260" ht="15" customHeight="1" hidden="1" spans="2:15" x14ac:dyDescent="0.25" outlineLevel="1" collapsed="1">
      <c r="B260" s="113" t="s">
        <v>237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f>IF((16-(('Annahmen'!$I$155-2026)*12+'Annahmen'!$H$155-1)+1)=1,'Annahmen'!$C$155,0)</f>
      </c>
      <c r="K260" s="51">
        <f>IF((16-(('Annahmen'!$I$156-2026)*12+'Annahmen'!$H$156-1)+1)=1,'Annahmen'!$C$156,0)</f>
      </c>
      <c r="L260" s="51">
        <f>IF((16-(('Annahmen'!$I$157-2026)*12+'Annahmen'!$H$157-1)+1)=1,'Annahmen'!$C$157,0)</f>
      </c>
      <c r="M260" s="51">
        <f>IF((16-(('Annahmen'!$I$158-2026)*12+'Annahmen'!$H$158-1)+1)=1,'Annahmen'!$C$158,0)</f>
      </c>
      <c r="N260" s="51">
        <f>IF((16-(('Annahmen'!$I$159-2026)*12+'Annahmen'!$H$159-1)+1)=1,'Annahmen'!$C$159,0)</f>
      </c>
      <c r="O260" s="114">
        <f>SUM(C260:N260)</f>
      </c>
    </row>
    <row r="261" ht="15" customHeight="1" hidden="1" spans="2:15" x14ac:dyDescent="0.25" outlineLevel="1" collapsed="1">
      <c r="B261" s="113" t="s">
        <v>238</v>
      </c>
      <c r="C261" s="51">
        <v>0</v>
      </c>
      <c r="D261" s="51">
        <v>0</v>
      </c>
      <c r="E261" s="51">
        <v>0</v>
      </c>
      <c r="F261" s="51">
        <v>0</v>
      </c>
      <c r="G261" s="51">
        <v>0</v>
      </c>
      <c r="H261" s="51">
        <v>0</v>
      </c>
      <c r="I261" s="51">
        <v>0</v>
      </c>
      <c r="J261" s="51">
        <f>IF((17-(('Annahmen'!$I$155-2026)*12+'Annahmen'!$H$155-1)+1)=1,'Annahmen'!$C$155,0)</f>
      </c>
      <c r="K261" s="51">
        <f>IF((17-(('Annahmen'!$I$156-2026)*12+'Annahmen'!$H$156-1)+1)=1,'Annahmen'!$C$156,0)</f>
      </c>
      <c r="L261" s="51">
        <f>IF((17-(('Annahmen'!$I$157-2026)*12+'Annahmen'!$H$157-1)+1)=1,'Annahmen'!$C$157,0)</f>
      </c>
      <c r="M261" s="51">
        <f>IF((17-(('Annahmen'!$I$158-2026)*12+'Annahmen'!$H$158-1)+1)=1,'Annahmen'!$C$158,0)</f>
      </c>
      <c r="N261" s="51">
        <f>IF((17-(('Annahmen'!$I$159-2026)*12+'Annahmen'!$H$159-1)+1)=1,'Annahmen'!$C$159,0)</f>
      </c>
      <c r="O261" s="114">
        <f>SUM(C261:N261)</f>
      </c>
    </row>
    <row r="262" ht="15" customHeight="1" hidden="1" spans="2:15" x14ac:dyDescent="0.25" outlineLevel="1" collapsed="1">
      <c r="B262" s="113" t="s">
        <v>239</v>
      </c>
      <c r="C262" s="51">
        <v>0</v>
      </c>
      <c r="D262" s="51">
        <v>0</v>
      </c>
      <c r="E262" s="51">
        <v>0</v>
      </c>
      <c r="F262" s="51">
        <v>0</v>
      </c>
      <c r="G262" s="51">
        <v>0</v>
      </c>
      <c r="H262" s="51">
        <v>0</v>
      </c>
      <c r="I262" s="51">
        <v>0</v>
      </c>
      <c r="J262" s="51">
        <f>IF((18-(('Annahmen'!$I$155-2026)*12+'Annahmen'!$H$155-1)+1)=1,'Annahmen'!$C$155,0)</f>
      </c>
      <c r="K262" s="51">
        <f>IF((18-(('Annahmen'!$I$156-2026)*12+'Annahmen'!$H$156-1)+1)=1,'Annahmen'!$C$156,0)</f>
      </c>
      <c r="L262" s="51">
        <f>IF((18-(('Annahmen'!$I$157-2026)*12+'Annahmen'!$H$157-1)+1)=1,'Annahmen'!$C$157,0)</f>
      </c>
      <c r="M262" s="51">
        <f>IF((18-(('Annahmen'!$I$158-2026)*12+'Annahmen'!$H$158-1)+1)=1,'Annahmen'!$C$158,0)</f>
      </c>
      <c r="N262" s="51">
        <f>IF((18-(('Annahmen'!$I$159-2026)*12+'Annahmen'!$H$159-1)+1)=1,'Annahmen'!$C$159,0)</f>
      </c>
      <c r="O262" s="114">
        <f>SUM(C262:N262)</f>
      </c>
    </row>
    <row r="263" ht="15" customHeight="1" hidden="1" spans="2:15" x14ac:dyDescent="0.25" outlineLevel="1" collapsed="1">
      <c r="B263" s="113" t="s">
        <v>240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f>IF((19-(('Annahmen'!$I$155-2026)*12+'Annahmen'!$H$155-1)+1)=1,'Annahmen'!$C$155,0)</f>
      </c>
      <c r="K263" s="51">
        <f>IF((19-(('Annahmen'!$I$156-2026)*12+'Annahmen'!$H$156-1)+1)=1,'Annahmen'!$C$156,0)</f>
      </c>
      <c r="L263" s="51">
        <f>IF((19-(('Annahmen'!$I$157-2026)*12+'Annahmen'!$H$157-1)+1)=1,'Annahmen'!$C$157,0)</f>
      </c>
      <c r="M263" s="51">
        <f>IF((19-(('Annahmen'!$I$158-2026)*12+'Annahmen'!$H$158-1)+1)=1,'Annahmen'!$C$158,0)</f>
      </c>
      <c r="N263" s="51">
        <f>IF((19-(('Annahmen'!$I$159-2026)*12+'Annahmen'!$H$159-1)+1)=1,'Annahmen'!$C$159,0)</f>
      </c>
      <c r="O263" s="114">
        <f>SUM(C263:N263)</f>
      </c>
    </row>
    <row r="264" ht="15" customHeight="1" hidden="1" spans="2:15" x14ac:dyDescent="0.25" outlineLevel="1" collapsed="1">
      <c r="B264" s="113" t="s">
        <v>241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f>IF((20-(('Annahmen'!$I$155-2026)*12+'Annahmen'!$H$155-1)+1)=1,'Annahmen'!$C$155,0)</f>
      </c>
      <c r="K264" s="51">
        <f>IF((20-(('Annahmen'!$I$156-2026)*12+'Annahmen'!$H$156-1)+1)=1,'Annahmen'!$C$156,0)</f>
      </c>
      <c r="L264" s="51">
        <f>IF((20-(('Annahmen'!$I$157-2026)*12+'Annahmen'!$H$157-1)+1)=1,'Annahmen'!$C$157,0)</f>
      </c>
      <c r="M264" s="51">
        <f>IF((20-(('Annahmen'!$I$158-2026)*12+'Annahmen'!$H$158-1)+1)=1,'Annahmen'!$C$158,0)</f>
      </c>
      <c r="N264" s="51">
        <f>IF((20-(('Annahmen'!$I$159-2026)*12+'Annahmen'!$H$159-1)+1)=1,'Annahmen'!$C$159,0)</f>
      </c>
      <c r="O264" s="114">
        <f>SUM(C264:N264)</f>
      </c>
    </row>
    <row r="265" ht="15" customHeight="1" hidden="1" spans="2:15" x14ac:dyDescent="0.25" outlineLevel="1" collapsed="1">
      <c r="B265" s="113" t="s">
        <v>242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f>IF((21-(('Annahmen'!$I$155-2026)*12+'Annahmen'!$H$155-1)+1)=1,'Annahmen'!$C$155,0)</f>
      </c>
      <c r="K265" s="51">
        <f>IF((21-(('Annahmen'!$I$156-2026)*12+'Annahmen'!$H$156-1)+1)=1,'Annahmen'!$C$156,0)</f>
      </c>
      <c r="L265" s="51">
        <f>IF((21-(('Annahmen'!$I$157-2026)*12+'Annahmen'!$H$157-1)+1)=1,'Annahmen'!$C$157,0)</f>
      </c>
      <c r="M265" s="51">
        <f>IF((21-(('Annahmen'!$I$158-2026)*12+'Annahmen'!$H$158-1)+1)=1,'Annahmen'!$C$158,0)</f>
      </c>
      <c r="N265" s="51">
        <f>IF((21-(('Annahmen'!$I$159-2026)*12+'Annahmen'!$H$159-1)+1)=1,'Annahmen'!$C$159,0)</f>
      </c>
      <c r="O265" s="114">
        <f>SUM(C265:N265)</f>
      </c>
    </row>
    <row r="266" ht="15" customHeight="1" hidden="1" spans="2:15" x14ac:dyDescent="0.25" outlineLevel="1" collapsed="1">
      <c r="B266" s="113" t="s">
        <v>243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f>IF((22-(('Annahmen'!$I$155-2026)*12+'Annahmen'!$H$155-1)+1)=1,'Annahmen'!$C$155,0)</f>
      </c>
      <c r="K266" s="51">
        <f>IF((22-(('Annahmen'!$I$156-2026)*12+'Annahmen'!$H$156-1)+1)=1,'Annahmen'!$C$156,0)</f>
      </c>
      <c r="L266" s="51">
        <f>IF((22-(('Annahmen'!$I$157-2026)*12+'Annahmen'!$H$157-1)+1)=1,'Annahmen'!$C$157,0)</f>
      </c>
      <c r="M266" s="51">
        <f>IF((22-(('Annahmen'!$I$158-2026)*12+'Annahmen'!$H$158-1)+1)=1,'Annahmen'!$C$158,0)</f>
      </c>
      <c r="N266" s="51">
        <f>IF((22-(('Annahmen'!$I$159-2026)*12+'Annahmen'!$H$159-1)+1)=1,'Annahmen'!$C$159,0)</f>
      </c>
      <c r="O266" s="114">
        <f>SUM(C266:N266)</f>
      </c>
    </row>
    <row r="267" ht="15" customHeight="1" hidden="1" spans="2:15" x14ac:dyDescent="0.25" outlineLevel="1" collapsed="1">
      <c r="B267" s="113" t="s">
        <v>244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0</v>
      </c>
      <c r="I267" s="51">
        <v>0</v>
      </c>
      <c r="J267" s="51">
        <f>IF((23-(('Annahmen'!$I$155-2026)*12+'Annahmen'!$H$155-1)+1)=1,'Annahmen'!$C$155,0)</f>
      </c>
      <c r="K267" s="51">
        <f>IF((23-(('Annahmen'!$I$156-2026)*12+'Annahmen'!$H$156-1)+1)=1,'Annahmen'!$C$156,0)</f>
      </c>
      <c r="L267" s="51">
        <f>IF((23-(('Annahmen'!$I$157-2026)*12+'Annahmen'!$H$157-1)+1)=1,'Annahmen'!$C$157,0)</f>
      </c>
      <c r="M267" s="51">
        <f>IF((23-(('Annahmen'!$I$158-2026)*12+'Annahmen'!$H$158-1)+1)=1,'Annahmen'!$C$158,0)</f>
      </c>
      <c r="N267" s="51">
        <f>IF((23-(('Annahmen'!$I$159-2026)*12+'Annahmen'!$H$159-1)+1)=1,'Annahmen'!$C$159,0)</f>
      </c>
      <c r="O267" s="114">
        <f>SUM(C267:N267)</f>
      </c>
    </row>
    <row r="268" ht="15" customHeight="1" hidden="1" spans="2:15" x14ac:dyDescent="0.25" outlineLevel="1" collapsed="1">
      <c r="B268" s="115" t="s">
        <v>245</v>
      </c>
      <c r="C268" s="23">
        <f>SUM(C256:C267)</f>
      </c>
      <c r="D268" s="23">
        <f>SUM(D256:D267)</f>
      </c>
      <c r="E268" s="23">
        <f>SUM(E256:E267)</f>
      </c>
      <c r="F268" s="23">
        <f>SUM(F256:F267)</f>
      </c>
      <c r="G268" s="23">
        <f>SUM(G256:G267)</f>
      </c>
      <c r="H268" s="23">
        <f>SUM(H256:H267)</f>
      </c>
      <c r="I268" s="23">
        <f>SUM(I256:I267)</f>
      </c>
      <c r="J268" s="23">
        <f>SUM(J256:J267)</f>
      </c>
      <c r="K268" s="23">
        <f>SUM(K256:K267)</f>
      </c>
      <c r="L268" s="23">
        <f>SUM(L256:L267)</f>
      </c>
      <c r="M268" s="23">
        <f>SUM(M256:M267)</f>
      </c>
      <c r="N268" s="23">
        <f>SUM(N256:N267)</f>
      </c>
      <c r="O268" s="116">
        <f>SUM(O256:O267)</f>
      </c>
    </row>
    <row r="269" ht="15" customHeight="1" hidden="1" spans="2:15" x14ac:dyDescent="0.25" outlineLevel="1" collapsed="1">
      <c r="B269" s="113" t="s">
        <v>246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0</v>
      </c>
      <c r="I269" s="51">
        <v>0</v>
      </c>
      <c r="J269" s="51">
        <f>IF((24-(('Annahmen'!$I$155-2026)*12+'Annahmen'!$H$155-1)+1)=1,'Annahmen'!$C$155,0)</f>
      </c>
      <c r="K269" s="51">
        <f>IF((24-(('Annahmen'!$I$156-2026)*12+'Annahmen'!$H$156-1)+1)=1,'Annahmen'!$C$156,0)</f>
      </c>
      <c r="L269" s="51">
        <f>IF((24-(('Annahmen'!$I$157-2026)*12+'Annahmen'!$H$157-1)+1)=1,'Annahmen'!$C$157,0)</f>
      </c>
      <c r="M269" s="51">
        <f>IF((24-(('Annahmen'!$I$158-2026)*12+'Annahmen'!$H$158-1)+1)=1,'Annahmen'!$C$158,0)</f>
      </c>
      <c r="N269" s="51">
        <f>IF((24-(('Annahmen'!$I$159-2026)*12+'Annahmen'!$H$159-1)+1)=1,'Annahmen'!$C$159,0)</f>
      </c>
      <c r="O269" s="114">
        <f>SUM(C269:N269)</f>
      </c>
    </row>
    <row r="270" ht="15" customHeight="1" hidden="1" spans="2:15" x14ac:dyDescent="0.25" outlineLevel="1" collapsed="1">
      <c r="B270" s="113" t="s">
        <v>247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f>IF((25-(('Annahmen'!$I$155-2026)*12+'Annahmen'!$H$155-1)+1)=1,'Annahmen'!$C$155,0)</f>
      </c>
      <c r="K270" s="51">
        <f>IF((25-(('Annahmen'!$I$156-2026)*12+'Annahmen'!$H$156-1)+1)=1,'Annahmen'!$C$156,0)</f>
      </c>
      <c r="L270" s="51">
        <f>IF((25-(('Annahmen'!$I$157-2026)*12+'Annahmen'!$H$157-1)+1)=1,'Annahmen'!$C$157,0)</f>
      </c>
      <c r="M270" s="51">
        <f>IF((25-(('Annahmen'!$I$158-2026)*12+'Annahmen'!$H$158-1)+1)=1,'Annahmen'!$C$158,0)</f>
      </c>
      <c r="N270" s="51">
        <f>IF((25-(('Annahmen'!$I$159-2026)*12+'Annahmen'!$H$159-1)+1)=1,'Annahmen'!$C$159,0)</f>
      </c>
      <c r="O270" s="114">
        <f>SUM(C270:N270)</f>
      </c>
    </row>
    <row r="271" ht="15" customHeight="1" hidden="1" spans="2:15" x14ac:dyDescent="0.25" outlineLevel="1" collapsed="1">
      <c r="B271" s="113" t="s">
        <v>248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0</v>
      </c>
      <c r="I271" s="51">
        <v>0</v>
      </c>
      <c r="J271" s="51">
        <f>IF((26-(('Annahmen'!$I$155-2026)*12+'Annahmen'!$H$155-1)+1)=1,'Annahmen'!$C$155,0)</f>
      </c>
      <c r="K271" s="51">
        <f>IF((26-(('Annahmen'!$I$156-2026)*12+'Annahmen'!$H$156-1)+1)=1,'Annahmen'!$C$156,0)</f>
      </c>
      <c r="L271" s="51">
        <f>IF((26-(('Annahmen'!$I$157-2026)*12+'Annahmen'!$H$157-1)+1)=1,'Annahmen'!$C$157,0)</f>
      </c>
      <c r="M271" s="51">
        <f>IF((26-(('Annahmen'!$I$158-2026)*12+'Annahmen'!$H$158-1)+1)=1,'Annahmen'!$C$158,0)</f>
      </c>
      <c r="N271" s="51">
        <f>IF((26-(('Annahmen'!$I$159-2026)*12+'Annahmen'!$H$159-1)+1)=1,'Annahmen'!$C$159,0)</f>
      </c>
      <c r="O271" s="114">
        <f>SUM(C271:N271)</f>
      </c>
    </row>
    <row r="272" ht="15" customHeight="1" hidden="1" spans="2:15" x14ac:dyDescent="0.25" outlineLevel="1" collapsed="1">
      <c r="B272" s="113" t="s">
        <v>249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f>IF((27-(('Annahmen'!$I$155-2026)*12+'Annahmen'!$H$155-1)+1)=1,'Annahmen'!$C$155,0)</f>
      </c>
      <c r="K272" s="51">
        <f>IF((27-(('Annahmen'!$I$156-2026)*12+'Annahmen'!$H$156-1)+1)=1,'Annahmen'!$C$156,0)</f>
      </c>
      <c r="L272" s="51">
        <f>IF((27-(('Annahmen'!$I$157-2026)*12+'Annahmen'!$H$157-1)+1)=1,'Annahmen'!$C$157,0)</f>
      </c>
      <c r="M272" s="51">
        <f>IF((27-(('Annahmen'!$I$158-2026)*12+'Annahmen'!$H$158-1)+1)=1,'Annahmen'!$C$158,0)</f>
      </c>
      <c r="N272" s="51">
        <f>IF((27-(('Annahmen'!$I$159-2026)*12+'Annahmen'!$H$159-1)+1)=1,'Annahmen'!$C$159,0)</f>
      </c>
      <c r="O272" s="114">
        <f>SUM(C272:N272)</f>
      </c>
    </row>
    <row r="273" ht="15" customHeight="1" hidden="1" spans="2:15" x14ac:dyDescent="0.25" outlineLevel="1" collapsed="1">
      <c r="B273" s="113" t="s">
        <v>250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0</v>
      </c>
      <c r="I273" s="51">
        <v>0</v>
      </c>
      <c r="J273" s="51">
        <f>IF((28-(('Annahmen'!$I$155-2026)*12+'Annahmen'!$H$155-1)+1)=1,'Annahmen'!$C$155,0)</f>
      </c>
      <c r="K273" s="51">
        <f>IF((28-(('Annahmen'!$I$156-2026)*12+'Annahmen'!$H$156-1)+1)=1,'Annahmen'!$C$156,0)</f>
      </c>
      <c r="L273" s="51">
        <f>IF((28-(('Annahmen'!$I$157-2026)*12+'Annahmen'!$H$157-1)+1)=1,'Annahmen'!$C$157,0)</f>
      </c>
      <c r="M273" s="51">
        <f>IF((28-(('Annahmen'!$I$158-2026)*12+'Annahmen'!$H$158-1)+1)=1,'Annahmen'!$C$158,0)</f>
      </c>
      <c r="N273" s="51">
        <f>IF((28-(('Annahmen'!$I$159-2026)*12+'Annahmen'!$H$159-1)+1)=1,'Annahmen'!$C$159,0)</f>
      </c>
      <c r="O273" s="114">
        <f>SUM(C273:N273)</f>
      </c>
    </row>
    <row r="274" ht="15" customHeight="1" hidden="1" spans="2:15" x14ac:dyDescent="0.25" outlineLevel="1" collapsed="1">
      <c r="B274" s="113" t="s">
        <v>251</v>
      </c>
      <c r="C274" s="51">
        <v>0</v>
      </c>
      <c r="D274" s="51">
        <v>0</v>
      </c>
      <c r="E274" s="51">
        <v>0</v>
      </c>
      <c r="F274" s="51">
        <v>0</v>
      </c>
      <c r="G274" s="51">
        <v>0</v>
      </c>
      <c r="H274" s="51">
        <v>0</v>
      </c>
      <c r="I274" s="51">
        <v>0</v>
      </c>
      <c r="J274" s="51">
        <f>IF((29-(('Annahmen'!$I$155-2026)*12+'Annahmen'!$H$155-1)+1)=1,'Annahmen'!$C$155,0)</f>
      </c>
      <c r="K274" s="51">
        <f>IF((29-(('Annahmen'!$I$156-2026)*12+'Annahmen'!$H$156-1)+1)=1,'Annahmen'!$C$156,0)</f>
      </c>
      <c r="L274" s="51">
        <f>IF((29-(('Annahmen'!$I$157-2026)*12+'Annahmen'!$H$157-1)+1)=1,'Annahmen'!$C$157,0)</f>
      </c>
      <c r="M274" s="51">
        <f>IF((29-(('Annahmen'!$I$158-2026)*12+'Annahmen'!$H$158-1)+1)=1,'Annahmen'!$C$158,0)</f>
      </c>
      <c r="N274" s="51">
        <f>IF((29-(('Annahmen'!$I$159-2026)*12+'Annahmen'!$H$159-1)+1)=1,'Annahmen'!$C$159,0)</f>
      </c>
      <c r="O274" s="114">
        <f>SUM(C274:N274)</f>
      </c>
    </row>
    <row r="275" ht="15" customHeight="1" hidden="1" spans="2:15" x14ac:dyDescent="0.25" outlineLevel="1" collapsed="1">
      <c r="B275" s="113" t="s">
        <v>252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f>IF((30-(('Annahmen'!$I$155-2026)*12+'Annahmen'!$H$155-1)+1)=1,'Annahmen'!$C$155,0)</f>
      </c>
      <c r="K275" s="51">
        <f>IF((30-(('Annahmen'!$I$156-2026)*12+'Annahmen'!$H$156-1)+1)=1,'Annahmen'!$C$156,0)</f>
      </c>
      <c r="L275" s="51">
        <f>IF((30-(('Annahmen'!$I$157-2026)*12+'Annahmen'!$H$157-1)+1)=1,'Annahmen'!$C$157,0)</f>
      </c>
      <c r="M275" s="51">
        <f>IF((30-(('Annahmen'!$I$158-2026)*12+'Annahmen'!$H$158-1)+1)=1,'Annahmen'!$C$158,0)</f>
      </c>
      <c r="N275" s="51">
        <f>IF((30-(('Annahmen'!$I$159-2026)*12+'Annahmen'!$H$159-1)+1)=1,'Annahmen'!$C$159,0)</f>
      </c>
      <c r="O275" s="114">
        <f>SUM(C275:N275)</f>
      </c>
    </row>
    <row r="276" ht="15" customHeight="1" hidden="1" spans="2:15" x14ac:dyDescent="0.25" outlineLevel="1" collapsed="1">
      <c r="B276" s="113" t="s">
        <v>253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f>IF((31-(('Annahmen'!$I$155-2026)*12+'Annahmen'!$H$155-1)+1)=1,'Annahmen'!$C$155,0)</f>
      </c>
      <c r="K276" s="51">
        <f>IF((31-(('Annahmen'!$I$156-2026)*12+'Annahmen'!$H$156-1)+1)=1,'Annahmen'!$C$156,0)</f>
      </c>
      <c r="L276" s="51">
        <f>IF((31-(('Annahmen'!$I$157-2026)*12+'Annahmen'!$H$157-1)+1)=1,'Annahmen'!$C$157,0)</f>
      </c>
      <c r="M276" s="51">
        <f>IF((31-(('Annahmen'!$I$158-2026)*12+'Annahmen'!$H$158-1)+1)=1,'Annahmen'!$C$158,0)</f>
      </c>
      <c r="N276" s="51">
        <f>IF((31-(('Annahmen'!$I$159-2026)*12+'Annahmen'!$H$159-1)+1)=1,'Annahmen'!$C$159,0)</f>
      </c>
      <c r="O276" s="114">
        <f>SUM(C276:N276)</f>
      </c>
    </row>
    <row r="277" ht="15" customHeight="1" hidden="1" spans="2:15" x14ac:dyDescent="0.25" outlineLevel="1" collapsed="1">
      <c r="B277" s="113" t="s">
        <v>254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f>IF((32-(('Annahmen'!$I$155-2026)*12+'Annahmen'!$H$155-1)+1)=1,'Annahmen'!$C$155,0)</f>
      </c>
      <c r="K277" s="51">
        <f>IF((32-(('Annahmen'!$I$156-2026)*12+'Annahmen'!$H$156-1)+1)=1,'Annahmen'!$C$156,0)</f>
      </c>
      <c r="L277" s="51">
        <f>IF((32-(('Annahmen'!$I$157-2026)*12+'Annahmen'!$H$157-1)+1)=1,'Annahmen'!$C$157,0)</f>
      </c>
      <c r="M277" s="51">
        <f>IF((32-(('Annahmen'!$I$158-2026)*12+'Annahmen'!$H$158-1)+1)=1,'Annahmen'!$C$158,0)</f>
      </c>
      <c r="N277" s="51">
        <f>IF((32-(('Annahmen'!$I$159-2026)*12+'Annahmen'!$H$159-1)+1)=1,'Annahmen'!$C$159,0)</f>
      </c>
      <c r="O277" s="114">
        <f>SUM(C277:N277)</f>
      </c>
    </row>
    <row r="278" ht="15" customHeight="1" hidden="1" spans="2:15" x14ac:dyDescent="0.25" outlineLevel="1" collapsed="1">
      <c r="B278" s="113" t="s">
        <v>255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1">
        <v>0</v>
      </c>
      <c r="J278" s="51">
        <f>IF((33-(('Annahmen'!$I$155-2026)*12+'Annahmen'!$H$155-1)+1)=1,'Annahmen'!$C$155,0)</f>
      </c>
      <c r="K278" s="51">
        <f>IF((33-(('Annahmen'!$I$156-2026)*12+'Annahmen'!$H$156-1)+1)=1,'Annahmen'!$C$156,0)</f>
      </c>
      <c r="L278" s="51">
        <f>IF((33-(('Annahmen'!$I$157-2026)*12+'Annahmen'!$H$157-1)+1)=1,'Annahmen'!$C$157,0)</f>
      </c>
      <c r="M278" s="51">
        <f>IF((33-(('Annahmen'!$I$158-2026)*12+'Annahmen'!$H$158-1)+1)=1,'Annahmen'!$C$158,0)</f>
      </c>
      <c r="N278" s="51">
        <f>IF((33-(('Annahmen'!$I$159-2026)*12+'Annahmen'!$H$159-1)+1)=1,'Annahmen'!$C$159,0)</f>
      </c>
      <c r="O278" s="114">
        <f>SUM(C278:N278)</f>
      </c>
    </row>
    <row r="279" ht="15" customHeight="1" hidden="1" spans="2:15" x14ac:dyDescent="0.25" outlineLevel="1" collapsed="1">
      <c r="B279" s="113" t="s">
        <v>256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0</v>
      </c>
      <c r="I279" s="51">
        <v>0</v>
      </c>
      <c r="J279" s="51">
        <f>IF((34-(('Annahmen'!$I$155-2026)*12+'Annahmen'!$H$155-1)+1)=1,'Annahmen'!$C$155,0)</f>
      </c>
      <c r="K279" s="51">
        <f>IF((34-(('Annahmen'!$I$156-2026)*12+'Annahmen'!$H$156-1)+1)=1,'Annahmen'!$C$156,0)</f>
      </c>
      <c r="L279" s="51">
        <f>IF((34-(('Annahmen'!$I$157-2026)*12+'Annahmen'!$H$157-1)+1)=1,'Annahmen'!$C$157,0)</f>
      </c>
      <c r="M279" s="51">
        <f>IF((34-(('Annahmen'!$I$158-2026)*12+'Annahmen'!$H$158-1)+1)=1,'Annahmen'!$C$158,0)</f>
      </c>
      <c r="N279" s="51">
        <f>IF((34-(('Annahmen'!$I$159-2026)*12+'Annahmen'!$H$159-1)+1)=1,'Annahmen'!$C$159,0)</f>
      </c>
      <c r="O279" s="114">
        <f>SUM(C279:N279)</f>
      </c>
    </row>
    <row r="280" ht="15" customHeight="1" hidden="1" spans="2:15" x14ac:dyDescent="0.25" outlineLevel="1" collapsed="1">
      <c r="B280" s="113" t="s">
        <v>257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f>IF((35-(('Annahmen'!$I$155-2026)*12+'Annahmen'!$H$155-1)+1)=1,'Annahmen'!$C$155,0)</f>
      </c>
      <c r="K280" s="51">
        <f>IF((35-(('Annahmen'!$I$156-2026)*12+'Annahmen'!$H$156-1)+1)=1,'Annahmen'!$C$156,0)</f>
      </c>
      <c r="L280" s="51">
        <f>IF((35-(('Annahmen'!$I$157-2026)*12+'Annahmen'!$H$157-1)+1)=1,'Annahmen'!$C$157,0)</f>
      </c>
      <c r="M280" s="51">
        <f>IF((35-(('Annahmen'!$I$158-2026)*12+'Annahmen'!$H$158-1)+1)=1,'Annahmen'!$C$158,0)</f>
      </c>
      <c r="N280" s="51">
        <f>IF((35-(('Annahmen'!$I$159-2026)*12+'Annahmen'!$H$159-1)+1)=1,'Annahmen'!$C$159,0)</f>
      </c>
      <c r="O280" s="114">
        <f>SUM(C280:N280)</f>
      </c>
    </row>
    <row r="281" ht="15" customHeight="1" hidden="1" spans="2:15" x14ac:dyDescent="0.25" outlineLevel="1" collapsed="1">
      <c r="B281" s="115" t="s">
        <v>258</v>
      </c>
      <c r="C281" s="23">
        <f>SUM(C269:C280)</f>
      </c>
      <c r="D281" s="23">
        <f>SUM(D269:D280)</f>
      </c>
      <c r="E281" s="23">
        <f>SUM(E269:E280)</f>
      </c>
      <c r="F281" s="23">
        <f>SUM(F269:F280)</f>
      </c>
      <c r="G281" s="23">
        <f>SUM(G269:G280)</f>
      </c>
      <c r="H281" s="23">
        <f>SUM(H269:H280)</f>
      </c>
      <c r="I281" s="23">
        <f>SUM(I269:I280)</f>
      </c>
      <c r="J281" s="23">
        <f>SUM(J269:J280)</f>
      </c>
      <c r="K281" s="23">
        <f>SUM(K269:K280)</f>
      </c>
      <c r="L281" s="23">
        <f>SUM(L269:L280)</f>
      </c>
      <c r="M281" s="23">
        <f>SUM(M269:M280)</f>
      </c>
      <c r="N281" s="23">
        <f>SUM(N269:N280)</f>
      </c>
      <c r="O281" s="116">
        <f>SUM(O269:O280)</f>
      </c>
    </row>
    <row r="282" ht="18" customHeight="1" hidden="1" spans="2:15" x14ac:dyDescent="0.25" outlineLevel="1" collapsed="1">
      <c r="B282" s="117" t="s">
        <v>426</v>
      </c>
      <c r="C282" s="118">
        <f>C255+C268+C281</f>
      </c>
      <c r="D282" s="118">
        <f>D255+D268+D281</f>
      </c>
      <c r="E282" s="118">
        <f>E255+E268+E281</f>
      </c>
      <c r="F282" s="118">
        <f>F255+F268+F281</f>
      </c>
      <c r="G282" s="118">
        <f>G255+G268+G281</f>
      </c>
      <c r="H282" s="118">
        <f>H255+H268+H281</f>
      </c>
      <c r="I282" s="118">
        <f>I255+I268+I281</f>
      </c>
      <c r="J282" s="118">
        <f>J255+J268+J281</f>
      </c>
      <c r="K282" s="118">
        <f>K255+K268+K281</f>
      </c>
      <c r="L282" s="118">
        <f>L255+L268+L281</f>
      </c>
      <c r="M282" s="118">
        <f>M255+M268+M281</f>
      </c>
      <c r="N282" s="118">
        <f>N255+N268+N281</f>
      </c>
      <c r="O282" s="119">
        <f>O255+O268+O281</f>
      </c>
    </row>
    <row r="283" ht="15" customHeight="1" hidden="1" x14ac:dyDescent="0.25" outlineLevel="1" collapsed="1"/>
    <row r="284" ht="18" customHeight="1" hidden="1" spans="2:2" x14ac:dyDescent="0.25" outlineLevel="1" collapsed="1">
      <c r="B284" s="109" t="s">
        <v>428</v>
      </c>
    </row>
    <row r="285" ht="24" customHeight="1" hidden="1" spans="2:15" x14ac:dyDescent="0.25" outlineLevel="1" collapsed="1">
      <c r="B285" s="110" t="s">
        <v>101</v>
      </c>
      <c r="C285" s="111" t="s">
        <v>188</v>
      </c>
      <c r="D285" s="111" t="s">
        <v>189</v>
      </c>
      <c r="E285" s="111" t="s">
        <v>190</v>
      </c>
      <c r="F285" s="111" t="s">
        <v>191</v>
      </c>
      <c r="G285" s="111" t="s">
        <v>192</v>
      </c>
      <c r="H285" s="111" t="s">
        <v>194</v>
      </c>
      <c r="I285" s="111" t="s">
        <v>195</v>
      </c>
      <c r="J285" s="111" t="s">
        <v>199</v>
      </c>
      <c r="K285" s="111" t="s">
        <v>200</v>
      </c>
      <c r="L285" s="111" t="s">
        <v>201</v>
      </c>
      <c r="M285" s="111" t="s">
        <v>202</v>
      </c>
      <c r="N285" s="111" t="s">
        <v>204</v>
      </c>
      <c r="O285" s="112" t="s">
        <v>134</v>
      </c>
    </row>
    <row r="286" ht="15" customHeight="1" hidden="1" spans="2:15" x14ac:dyDescent="0.25" outlineLevel="1" collapsed="1">
      <c r="B286" s="113" t="s">
        <v>220</v>
      </c>
      <c r="C286" s="51">
        <f>IF(1&lt;1,0,MAX((IF(1=1,'Annahmen'!$C$144,0))-C157,0))</f>
      </c>
      <c r="D286" s="51">
        <f>IF(1&lt;1,0,MAX((IF(1=1,'Annahmen'!$C$145,0))-D157,0))</f>
      </c>
      <c r="E286" s="51">
        <f>IF(1&lt;1,0,MAX((IF(1=1,'Annahmen'!$C$146,0))-E157,0))</f>
      </c>
      <c r="F286" s="51">
        <f>IF(1&lt;1,0,MAX((IF(1=1,'Annahmen'!$C$147,0))-F157,0))</f>
      </c>
      <c r="G286" s="51">
        <f>IF(1&lt;1,0,MAX((IF(1=1,'Annahmen'!$C$148,0))-G157,0))</f>
      </c>
      <c r="H286" s="51">
        <f>IF(1&lt;1,0,MAX((IF(1=1,'Annahmen'!$C$149,0))-H157,0))</f>
      </c>
      <c r="I286" s="51">
        <f>IF(1&lt;1,0,MAX((IF(1=1,'Annahmen'!$C$150,0))-I157,0))</f>
      </c>
      <c r="J286" s="51">
        <f>IF((0-(('Annahmen'!$I$155-2026)*12+'Annahmen'!$H$155-1)+1)&lt;1,0,MAX((IF((0-(('Annahmen'!$I$155-2026)*12+'Annahmen'!$H$155-1)+1)=1,'Annahmen'!$C$155,0))-J200,0))</f>
      </c>
      <c r="K286" s="51">
        <f>IF((0-(('Annahmen'!$I$156-2026)*12+'Annahmen'!$H$156-1)+1)&lt;1,0,MAX((IF((0-(('Annahmen'!$I$156-2026)*12+'Annahmen'!$H$156-1)+1)=1,'Annahmen'!$C$156,0))-K200,0))</f>
      </c>
      <c r="L286" s="51">
        <f>IF((0-(('Annahmen'!$I$157-2026)*12+'Annahmen'!$H$157-1)+1)&lt;1,0,MAX((IF((0-(('Annahmen'!$I$157-2026)*12+'Annahmen'!$H$157-1)+1)=1,'Annahmen'!$C$157,0))-L200,0))</f>
      </c>
      <c r="M286" s="51">
        <f>IF((0-(('Annahmen'!$I$158-2026)*12+'Annahmen'!$H$158-1)+1)&lt;1,0,MAX((IF((0-(('Annahmen'!$I$158-2026)*12+'Annahmen'!$H$158-1)+1)=1,'Annahmen'!$C$158,0))-M200,0))</f>
      </c>
      <c r="N286" s="51">
        <f>IF((0-(('Annahmen'!$I$159-2026)*12+'Annahmen'!$H$159-1)+1)&lt;1,0,MAX((IF((0-(('Annahmen'!$I$159-2026)*12+'Annahmen'!$H$159-1)+1)=1,'Annahmen'!$C$159,0))-N200,0))</f>
      </c>
      <c r="O286" s="114">
        <f>SUM(C286:N286)</f>
      </c>
    </row>
    <row r="287" ht="15" customHeight="1" hidden="1" spans="2:15" x14ac:dyDescent="0.25" outlineLevel="1" collapsed="1">
      <c r="B287" s="113" t="s">
        <v>221</v>
      </c>
      <c r="C287" s="51">
        <f>IF(2&lt;1,0,MAX((IF(2=1,'Annahmen'!$C$144,C286))-C158,0))</f>
      </c>
      <c r="D287" s="51">
        <f>IF(2&lt;1,0,MAX((IF(2=1,'Annahmen'!$C$145,D286))-D158,0))</f>
      </c>
      <c r="E287" s="51">
        <f>IF(2&lt;1,0,MAX((IF(2=1,'Annahmen'!$C$146,E286))-E158,0))</f>
      </c>
      <c r="F287" s="51">
        <f>IF(2&lt;1,0,MAX((IF(2=1,'Annahmen'!$C$147,F286))-F158,0))</f>
      </c>
      <c r="G287" s="51">
        <f>IF(2&lt;1,0,MAX((IF(2=1,'Annahmen'!$C$148,G286))-G158,0))</f>
      </c>
      <c r="H287" s="51">
        <f>IF(2&lt;1,0,MAX((IF(2=1,'Annahmen'!$C$149,H286))-H158,0))</f>
      </c>
      <c r="I287" s="51">
        <f>IF(2&lt;1,0,MAX((IF(2=1,'Annahmen'!$C$150,I286))-I158,0))</f>
      </c>
      <c r="J287" s="51">
        <f>IF((1-(('Annahmen'!$I$155-2026)*12+'Annahmen'!$H$155-1)+1)&lt;1,0,MAX((IF((1-(('Annahmen'!$I$155-2026)*12+'Annahmen'!$H$155-1)+1)=1,'Annahmen'!$C$155,J286))-J201,0))</f>
      </c>
      <c r="K287" s="51">
        <f>IF((1-(('Annahmen'!$I$156-2026)*12+'Annahmen'!$H$156-1)+1)&lt;1,0,MAX((IF((1-(('Annahmen'!$I$156-2026)*12+'Annahmen'!$H$156-1)+1)=1,'Annahmen'!$C$156,K286))-K201,0))</f>
      </c>
      <c r="L287" s="51">
        <f>IF((1-(('Annahmen'!$I$157-2026)*12+'Annahmen'!$H$157-1)+1)&lt;1,0,MAX((IF((1-(('Annahmen'!$I$157-2026)*12+'Annahmen'!$H$157-1)+1)=1,'Annahmen'!$C$157,L286))-L201,0))</f>
      </c>
      <c r="M287" s="51">
        <f>IF((1-(('Annahmen'!$I$158-2026)*12+'Annahmen'!$H$158-1)+1)&lt;1,0,MAX((IF((1-(('Annahmen'!$I$158-2026)*12+'Annahmen'!$H$158-1)+1)=1,'Annahmen'!$C$158,M286))-M201,0))</f>
      </c>
      <c r="N287" s="51">
        <f>IF((1-(('Annahmen'!$I$159-2026)*12+'Annahmen'!$H$159-1)+1)&lt;1,0,MAX((IF((1-(('Annahmen'!$I$159-2026)*12+'Annahmen'!$H$159-1)+1)=1,'Annahmen'!$C$159,N286))-N201,0))</f>
      </c>
      <c r="O287" s="114">
        <f>SUM(C287:N287)</f>
      </c>
    </row>
    <row r="288" ht="15" customHeight="1" hidden="1" spans="2:15" x14ac:dyDescent="0.25" outlineLevel="1" collapsed="1">
      <c r="B288" s="113" t="s">
        <v>222</v>
      </c>
      <c r="C288" s="51">
        <f>IF(3&lt;1,0,MAX((IF(3=1,'Annahmen'!$C$144,C287))-C159,0))</f>
      </c>
      <c r="D288" s="51">
        <f>IF(3&lt;1,0,MAX((IF(3=1,'Annahmen'!$C$145,D287))-D159,0))</f>
      </c>
      <c r="E288" s="51">
        <f>IF(3&lt;1,0,MAX((IF(3=1,'Annahmen'!$C$146,E287))-E159,0))</f>
      </c>
      <c r="F288" s="51">
        <f>IF(3&lt;1,0,MAX((IF(3=1,'Annahmen'!$C$147,F287))-F159,0))</f>
      </c>
      <c r="G288" s="51">
        <f>IF(3&lt;1,0,MAX((IF(3=1,'Annahmen'!$C$148,G287))-G159,0))</f>
      </c>
      <c r="H288" s="51">
        <f>IF(3&lt;1,0,MAX((IF(3=1,'Annahmen'!$C$149,H287))-H159,0))</f>
      </c>
      <c r="I288" s="51">
        <f>IF(3&lt;1,0,MAX((IF(3=1,'Annahmen'!$C$150,I287))-I159,0))</f>
      </c>
      <c r="J288" s="51">
        <f>IF((2-(('Annahmen'!$I$155-2026)*12+'Annahmen'!$H$155-1)+1)&lt;1,0,MAX((IF((2-(('Annahmen'!$I$155-2026)*12+'Annahmen'!$H$155-1)+1)=1,'Annahmen'!$C$155,J287))-J202,0))</f>
      </c>
      <c r="K288" s="51">
        <f>IF((2-(('Annahmen'!$I$156-2026)*12+'Annahmen'!$H$156-1)+1)&lt;1,0,MAX((IF((2-(('Annahmen'!$I$156-2026)*12+'Annahmen'!$H$156-1)+1)=1,'Annahmen'!$C$156,K287))-K202,0))</f>
      </c>
      <c r="L288" s="51">
        <f>IF((2-(('Annahmen'!$I$157-2026)*12+'Annahmen'!$H$157-1)+1)&lt;1,0,MAX((IF((2-(('Annahmen'!$I$157-2026)*12+'Annahmen'!$H$157-1)+1)=1,'Annahmen'!$C$157,L287))-L202,0))</f>
      </c>
      <c r="M288" s="51">
        <f>IF((2-(('Annahmen'!$I$158-2026)*12+'Annahmen'!$H$158-1)+1)&lt;1,0,MAX((IF((2-(('Annahmen'!$I$158-2026)*12+'Annahmen'!$H$158-1)+1)=1,'Annahmen'!$C$158,M287))-M202,0))</f>
      </c>
      <c r="N288" s="51">
        <f>IF((2-(('Annahmen'!$I$159-2026)*12+'Annahmen'!$H$159-1)+1)&lt;1,0,MAX((IF((2-(('Annahmen'!$I$159-2026)*12+'Annahmen'!$H$159-1)+1)=1,'Annahmen'!$C$159,N287))-N202,0))</f>
      </c>
      <c r="O288" s="114">
        <f>SUM(C288:N288)</f>
      </c>
    </row>
    <row r="289" ht="15" customHeight="1" hidden="1" spans="2:15" x14ac:dyDescent="0.25" outlineLevel="1" collapsed="1">
      <c r="B289" s="113" t="s">
        <v>223</v>
      </c>
      <c r="C289" s="51">
        <f>IF(4&lt;1,0,MAX((IF(4=1,'Annahmen'!$C$144,C288))-C160,0))</f>
      </c>
      <c r="D289" s="51">
        <f>IF(4&lt;1,0,MAX((IF(4=1,'Annahmen'!$C$145,D288))-D160,0))</f>
      </c>
      <c r="E289" s="51">
        <f>IF(4&lt;1,0,MAX((IF(4=1,'Annahmen'!$C$146,E288))-E160,0))</f>
      </c>
      <c r="F289" s="51">
        <f>IF(4&lt;1,0,MAX((IF(4=1,'Annahmen'!$C$147,F288))-F160,0))</f>
      </c>
      <c r="G289" s="51">
        <f>IF(4&lt;1,0,MAX((IF(4=1,'Annahmen'!$C$148,G288))-G160,0))</f>
      </c>
      <c r="H289" s="51">
        <f>IF(4&lt;1,0,MAX((IF(4=1,'Annahmen'!$C$149,H288))-H160,0))</f>
      </c>
      <c r="I289" s="51">
        <f>IF(4&lt;1,0,MAX((IF(4=1,'Annahmen'!$C$150,I288))-I160,0))</f>
      </c>
      <c r="J289" s="51">
        <f>IF((3-(('Annahmen'!$I$155-2026)*12+'Annahmen'!$H$155-1)+1)&lt;1,0,MAX((IF((3-(('Annahmen'!$I$155-2026)*12+'Annahmen'!$H$155-1)+1)=1,'Annahmen'!$C$155,J288))-J203,0))</f>
      </c>
      <c r="K289" s="51">
        <f>IF((3-(('Annahmen'!$I$156-2026)*12+'Annahmen'!$H$156-1)+1)&lt;1,0,MAX((IF((3-(('Annahmen'!$I$156-2026)*12+'Annahmen'!$H$156-1)+1)=1,'Annahmen'!$C$156,K288))-K203,0))</f>
      </c>
      <c r="L289" s="51">
        <f>IF((3-(('Annahmen'!$I$157-2026)*12+'Annahmen'!$H$157-1)+1)&lt;1,0,MAX((IF((3-(('Annahmen'!$I$157-2026)*12+'Annahmen'!$H$157-1)+1)=1,'Annahmen'!$C$157,L288))-L203,0))</f>
      </c>
      <c r="M289" s="51">
        <f>IF((3-(('Annahmen'!$I$158-2026)*12+'Annahmen'!$H$158-1)+1)&lt;1,0,MAX((IF((3-(('Annahmen'!$I$158-2026)*12+'Annahmen'!$H$158-1)+1)=1,'Annahmen'!$C$158,M288))-M203,0))</f>
      </c>
      <c r="N289" s="51">
        <f>IF((3-(('Annahmen'!$I$159-2026)*12+'Annahmen'!$H$159-1)+1)&lt;1,0,MAX((IF((3-(('Annahmen'!$I$159-2026)*12+'Annahmen'!$H$159-1)+1)=1,'Annahmen'!$C$159,N288))-N203,0))</f>
      </c>
      <c r="O289" s="114">
        <f>SUM(C289:N289)</f>
      </c>
    </row>
    <row r="290" ht="15" customHeight="1" hidden="1" spans="2:15" x14ac:dyDescent="0.25" outlineLevel="1" collapsed="1">
      <c r="B290" s="113" t="s">
        <v>224</v>
      </c>
      <c r="C290" s="51">
        <f>IF(5&lt;1,0,MAX((IF(5=1,'Annahmen'!$C$144,C289))-C161,0))</f>
      </c>
      <c r="D290" s="51">
        <f>IF(5&lt;1,0,MAX((IF(5=1,'Annahmen'!$C$145,D289))-D161,0))</f>
      </c>
      <c r="E290" s="51">
        <f>IF(5&lt;1,0,MAX((IF(5=1,'Annahmen'!$C$146,E289))-E161,0))</f>
      </c>
      <c r="F290" s="51">
        <f>IF(5&lt;1,0,MAX((IF(5=1,'Annahmen'!$C$147,F289))-F161,0))</f>
      </c>
      <c r="G290" s="51">
        <f>IF(5&lt;1,0,MAX((IF(5=1,'Annahmen'!$C$148,G289))-G161,0))</f>
      </c>
      <c r="H290" s="51">
        <f>IF(5&lt;1,0,MAX((IF(5=1,'Annahmen'!$C$149,H289))-H161,0))</f>
      </c>
      <c r="I290" s="51">
        <f>IF(5&lt;1,0,MAX((IF(5=1,'Annahmen'!$C$150,I289))-I161,0))</f>
      </c>
      <c r="J290" s="51">
        <f>IF((4-(('Annahmen'!$I$155-2026)*12+'Annahmen'!$H$155-1)+1)&lt;1,0,MAX((IF((4-(('Annahmen'!$I$155-2026)*12+'Annahmen'!$H$155-1)+1)=1,'Annahmen'!$C$155,J289))-J204,0))</f>
      </c>
      <c r="K290" s="51">
        <f>IF((4-(('Annahmen'!$I$156-2026)*12+'Annahmen'!$H$156-1)+1)&lt;1,0,MAX((IF((4-(('Annahmen'!$I$156-2026)*12+'Annahmen'!$H$156-1)+1)=1,'Annahmen'!$C$156,K289))-K204,0))</f>
      </c>
      <c r="L290" s="51">
        <f>IF((4-(('Annahmen'!$I$157-2026)*12+'Annahmen'!$H$157-1)+1)&lt;1,0,MAX((IF((4-(('Annahmen'!$I$157-2026)*12+'Annahmen'!$H$157-1)+1)=1,'Annahmen'!$C$157,L289))-L204,0))</f>
      </c>
      <c r="M290" s="51">
        <f>IF((4-(('Annahmen'!$I$158-2026)*12+'Annahmen'!$H$158-1)+1)&lt;1,0,MAX((IF((4-(('Annahmen'!$I$158-2026)*12+'Annahmen'!$H$158-1)+1)=1,'Annahmen'!$C$158,M289))-M204,0))</f>
      </c>
      <c r="N290" s="51">
        <f>IF((4-(('Annahmen'!$I$159-2026)*12+'Annahmen'!$H$159-1)+1)&lt;1,0,MAX((IF((4-(('Annahmen'!$I$159-2026)*12+'Annahmen'!$H$159-1)+1)=1,'Annahmen'!$C$159,N289))-N204,0))</f>
      </c>
      <c r="O290" s="114">
        <f>SUM(C290:N290)</f>
      </c>
    </row>
    <row r="291" ht="15" customHeight="1" hidden="1" spans="2:15" x14ac:dyDescent="0.25" outlineLevel="1" collapsed="1">
      <c r="B291" s="113" t="s">
        <v>225</v>
      </c>
      <c r="C291" s="51">
        <f>IF(6&lt;1,0,MAX((IF(6=1,'Annahmen'!$C$144,C290))-C162,0))</f>
      </c>
      <c r="D291" s="51">
        <f>IF(6&lt;1,0,MAX((IF(6=1,'Annahmen'!$C$145,D290))-D162,0))</f>
      </c>
      <c r="E291" s="51">
        <f>IF(6&lt;1,0,MAX((IF(6=1,'Annahmen'!$C$146,E290))-E162,0))</f>
      </c>
      <c r="F291" s="51">
        <f>IF(6&lt;1,0,MAX((IF(6=1,'Annahmen'!$C$147,F290))-F162,0))</f>
      </c>
      <c r="G291" s="51">
        <f>IF(6&lt;1,0,MAX((IF(6=1,'Annahmen'!$C$148,G290))-G162,0))</f>
      </c>
      <c r="H291" s="51">
        <f>IF(6&lt;1,0,MAX((IF(6=1,'Annahmen'!$C$149,H290))-H162,0))</f>
      </c>
      <c r="I291" s="51">
        <f>IF(6&lt;1,0,MAX((IF(6=1,'Annahmen'!$C$150,I290))-I162,0))</f>
      </c>
      <c r="J291" s="51">
        <f>IF((5-(('Annahmen'!$I$155-2026)*12+'Annahmen'!$H$155-1)+1)&lt;1,0,MAX((IF((5-(('Annahmen'!$I$155-2026)*12+'Annahmen'!$H$155-1)+1)=1,'Annahmen'!$C$155,J290))-J205,0))</f>
      </c>
      <c r="K291" s="51">
        <f>IF((5-(('Annahmen'!$I$156-2026)*12+'Annahmen'!$H$156-1)+1)&lt;1,0,MAX((IF((5-(('Annahmen'!$I$156-2026)*12+'Annahmen'!$H$156-1)+1)=1,'Annahmen'!$C$156,K290))-K205,0))</f>
      </c>
      <c r="L291" s="51">
        <f>IF((5-(('Annahmen'!$I$157-2026)*12+'Annahmen'!$H$157-1)+1)&lt;1,0,MAX((IF((5-(('Annahmen'!$I$157-2026)*12+'Annahmen'!$H$157-1)+1)=1,'Annahmen'!$C$157,L290))-L205,0))</f>
      </c>
      <c r="M291" s="51">
        <f>IF((5-(('Annahmen'!$I$158-2026)*12+'Annahmen'!$H$158-1)+1)&lt;1,0,MAX((IF((5-(('Annahmen'!$I$158-2026)*12+'Annahmen'!$H$158-1)+1)=1,'Annahmen'!$C$158,M290))-M205,0))</f>
      </c>
      <c r="N291" s="51">
        <f>IF((5-(('Annahmen'!$I$159-2026)*12+'Annahmen'!$H$159-1)+1)&lt;1,0,MAX((IF((5-(('Annahmen'!$I$159-2026)*12+'Annahmen'!$H$159-1)+1)=1,'Annahmen'!$C$159,N290))-N205,0))</f>
      </c>
      <c r="O291" s="114">
        <f>SUM(C291:N291)</f>
      </c>
    </row>
    <row r="292" ht="15" customHeight="1" hidden="1" spans="2:15" x14ac:dyDescent="0.25" outlineLevel="1" collapsed="1">
      <c r="B292" s="113" t="s">
        <v>226</v>
      </c>
      <c r="C292" s="51">
        <f>IF(7&lt;1,0,MAX((IF(7=1,'Annahmen'!$C$144,C291))-C163,0))</f>
      </c>
      <c r="D292" s="51">
        <f>IF(7&lt;1,0,MAX((IF(7=1,'Annahmen'!$C$145,D291))-D163,0))</f>
      </c>
      <c r="E292" s="51">
        <f>IF(7&lt;1,0,MAX((IF(7=1,'Annahmen'!$C$146,E291))-E163,0))</f>
      </c>
      <c r="F292" s="51">
        <f>IF(7&lt;1,0,MAX((IF(7=1,'Annahmen'!$C$147,F291))-F163,0))</f>
      </c>
      <c r="G292" s="51">
        <f>IF(7&lt;1,0,MAX((IF(7=1,'Annahmen'!$C$148,G291))-G163,0))</f>
      </c>
      <c r="H292" s="51">
        <f>IF(7&lt;1,0,MAX((IF(7=1,'Annahmen'!$C$149,H291))-H163,0))</f>
      </c>
      <c r="I292" s="51">
        <f>IF(7&lt;1,0,MAX((IF(7=1,'Annahmen'!$C$150,I291))-I163,0))</f>
      </c>
      <c r="J292" s="51">
        <f>IF((6-(('Annahmen'!$I$155-2026)*12+'Annahmen'!$H$155-1)+1)&lt;1,0,MAX((IF((6-(('Annahmen'!$I$155-2026)*12+'Annahmen'!$H$155-1)+1)=1,'Annahmen'!$C$155,J291))-J206,0))</f>
      </c>
      <c r="K292" s="51">
        <f>IF((6-(('Annahmen'!$I$156-2026)*12+'Annahmen'!$H$156-1)+1)&lt;1,0,MAX((IF((6-(('Annahmen'!$I$156-2026)*12+'Annahmen'!$H$156-1)+1)=1,'Annahmen'!$C$156,K291))-K206,0))</f>
      </c>
      <c r="L292" s="51">
        <f>IF((6-(('Annahmen'!$I$157-2026)*12+'Annahmen'!$H$157-1)+1)&lt;1,0,MAX((IF((6-(('Annahmen'!$I$157-2026)*12+'Annahmen'!$H$157-1)+1)=1,'Annahmen'!$C$157,L291))-L206,0))</f>
      </c>
      <c r="M292" s="51">
        <f>IF((6-(('Annahmen'!$I$158-2026)*12+'Annahmen'!$H$158-1)+1)&lt;1,0,MAX((IF((6-(('Annahmen'!$I$158-2026)*12+'Annahmen'!$H$158-1)+1)=1,'Annahmen'!$C$158,M291))-M206,0))</f>
      </c>
      <c r="N292" s="51">
        <f>IF((6-(('Annahmen'!$I$159-2026)*12+'Annahmen'!$H$159-1)+1)&lt;1,0,MAX((IF((6-(('Annahmen'!$I$159-2026)*12+'Annahmen'!$H$159-1)+1)=1,'Annahmen'!$C$159,N291))-N206,0))</f>
      </c>
      <c r="O292" s="114">
        <f>SUM(C292:N292)</f>
      </c>
    </row>
    <row r="293" ht="15" customHeight="1" hidden="1" spans="2:15" x14ac:dyDescent="0.25" outlineLevel="1" collapsed="1">
      <c r="B293" s="113" t="s">
        <v>227</v>
      </c>
      <c r="C293" s="51">
        <f>IF(8&lt;1,0,MAX((IF(8=1,'Annahmen'!$C$144,C292))-C164,0))</f>
      </c>
      <c r="D293" s="51">
        <f>IF(8&lt;1,0,MAX((IF(8=1,'Annahmen'!$C$145,D292))-D164,0))</f>
      </c>
      <c r="E293" s="51">
        <f>IF(8&lt;1,0,MAX((IF(8=1,'Annahmen'!$C$146,E292))-E164,0))</f>
      </c>
      <c r="F293" s="51">
        <f>IF(8&lt;1,0,MAX((IF(8=1,'Annahmen'!$C$147,F292))-F164,0))</f>
      </c>
      <c r="G293" s="51">
        <f>IF(8&lt;1,0,MAX((IF(8=1,'Annahmen'!$C$148,G292))-G164,0))</f>
      </c>
      <c r="H293" s="51">
        <f>IF(8&lt;1,0,MAX((IF(8=1,'Annahmen'!$C$149,H292))-H164,0))</f>
      </c>
      <c r="I293" s="51">
        <f>IF(8&lt;1,0,MAX((IF(8=1,'Annahmen'!$C$150,I292))-I164,0))</f>
      </c>
      <c r="J293" s="51">
        <f>IF((7-(('Annahmen'!$I$155-2026)*12+'Annahmen'!$H$155-1)+1)&lt;1,0,MAX((IF((7-(('Annahmen'!$I$155-2026)*12+'Annahmen'!$H$155-1)+1)=1,'Annahmen'!$C$155,J292))-J207,0))</f>
      </c>
      <c r="K293" s="51">
        <f>IF((7-(('Annahmen'!$I$156-2026)*12+'Annahmen'!$H$156-1)+1)&lt;1,0,MAX((IF((7-(('Annahmen'!$I$156-2026)*12+'Annahmen'!$H$156-1)+1)=1,'Annahmen'!$C$156,K292))-K207,0))</f>
      </c>
      <c r="L293" s="51">
        <f>IF((7-(('Annahmen'!$I$157-2026)*12+'Annahmen'!$H$157-1)+1)&lt;1,0,MAX((IF((7-(('Annahmen'!$I$157-2026)*12+'Annahmen'!$H$157-1)+1)=1,'Annahmen'!$C$157,L292))-L207,0))</f>
      </c>
      <c r="M293" s="51">
        <f>IF((7-(('Annahmen'!$I$158-2026)*12+'Annahmen'!$H$158-1)+1)&lt;1,0,MAX((IF((7-(('Annahmen'!$I$158-2026)*12+'Annahmen'!$H$158-1)+1)=1,'Annahmen'!$C$158,M292))-M207,0))</f>
      </c>
      <c r="N293" s="51">
        <f>IF((7-(('Annahmen'!$I$159-2026)*12+'Annahmen'!$H$159-1)+1)&lt;1,0,MAX((IF((7-(('Annahmen'!$I$159-2026)*12+'Annahmen'!$H$159-1)+1)=1,'Annahmen'!$C$159,N292))-N207,0))</f>
      </c>
      <c r="O293" s="114">
        <f>SUM(C293:N293)</f>
      </c>
    </row>
    <row r="294" ht="15" customHeight="1" hidden="1" spans="2:15" x14ac:dyDescent="0.25" outlineLevel="1" collapsed="1">
      <c r="B294" s="113" t="s">
        <v>228</v>
      </c>
      <c r="C294" s="51">
        <f>IF(9&lt;1,0,MAX((IF(9=1,'Annahmen'!$C$144,C293))-C165,0))</f>
      </c>
      <c r="D294" s="51">
        <f>IF(9&lt;1,0,MAX((IF(9=1,'Annahmen'!$C$145,D293))-D165,0))</f>
      </c>
      <c r="E294" s="51">
        <f>IF(9&lt;1,0,MAX((IF(9=1,'Annahmen'!$C$146,E293))-E165,0))</f>
      </c>
      <c r="F294" s="51">
        <f>IF(9&lt;1,0,MAX((IF(9=1,'Annahmen'!$C$147,F293))-F165,0))</f>
      </c>
      <c r="G294" s="51">
        <f>IF(9&lt;1,0,MAX((IF(9=1,'Annahmen'!$C$148,G293))-G165,0))</f>
      </c>
      <c r="H294" s="51">
        <f>IF(9&lt;1,0,MAX((IF(9=1,'Annahmen'!$C$149,H293))-H165,0))</f>
      </c>
      <c r="I294" s="51">
        <f>IF(9&lt;1,0,MAX((IF(9=1,'Annahmen'!$C$150,I293))-I165,0))</f>
      </c>
      <c r="J294" s="51">
        <f>IF((8-(('Annahmen'!$I$155-2026)*12+'Annahmen'!$H$155-1)+1)&lt;1,0,MAX((IF((8-(('Annahmen'!$I$155-2026)*12+'Annahmen'!$H$155-1)+1)=1,'Annahmen'!$C$155,J293))-J208,0))</f>
      </c>
      <c r="K294" s="51">
        <f>IF((8-(('Annahmen'!$I$156-2026)*12+'Annahmen'!$H$156-1)+1)&lt;1,0,MAX((IF((8-(('Annahmen'!$I$156-2026)*12+'Annahmen'!$H$156-1)+1)=1,'Annahmen'!$C$156,K293))-K208,0))</f>
      </c>
      <c r="L294" s="51">
        <f>IF((8-(('Annahmen'!$I$157-2026)*12+'Annahmen'!$H$157-1)+1)&lt;1,0,MAX((IF((8-(('Annahmen'!$I$157-2026)*12+'Annahmen'!$H$157-1)+1)=1,'Annahmen'!$C$157,L293))-L208,0))</f>
      </c>
      <c r="M294" s="51">
        <f>IF((8-(('Annahmen'!$I$158-2026)*12+'Annahmen'!$H$158-1)+1)&lt;1,0,MAX((IF((8-(('Annahmen'!$I$158-2026)*12+'Annahmen'!$H$158-1)+1)=1,'Annahmen'!$C$158,M293))-M208,0))</f>
      </c>
      <c r="N294" s="51">
        <f>IF((8-(('Annahmen'!$I$159-2026)*12+'Annahmen'!$H$159-1)+1)&lt;1,0,MAX((IF((8-(('Annahmen'!$I$159-2026)*12+'Annahmen'!$H$159-1)+1)=1,'Annahmen'!$C$159,N293))-N208,0))</f>
      </c>
      <c r="O294" s="114">
        <f>SUM(C294:N294)</f>
      </c>
    </row>
    <row r="295" ht="15" customHeight="1" hidden="1" spans="2:15" x14ac:dyDescent="0.25" outlineLevel="1" collapsed="1">
      <c r="B295" s="113" t="s">
        <v>229</v>
      </c>
      <c r="C295" s="51">
        <f>IF(10&lt;1,0,MAX((IF(10=1,'Annahmen'!$C$144,C294))-C166,0))</f>
      </c>
      <c r="D295" s="51">
        <f>IF(10&lt;1,0,MAX((IF(10=1,'Annahmen'!$C$145,D294))-D166,0))</f>
      </c>
      <c r="E295" s="51">
        <f>IF(10&lt;1,0,MAX((IF(10=1,'Annahmen'!$C$146,E294))-E166,0))</f>
      </c>
      <c r="F295" s="51">
        <f>IF(10&lt;1,0,MAX((IF(10=1,'Annahmen'!$C$147,F294))-F166,0))</f>
      </c>
      <c r="G295" s="51">
        <f>IF(10&lt;1,0,MAX((IF(10=1,'Annahmen'!$C$148,G294))-G166,0))</f>
      </c>
      <c r="H295" s="51">
        <f>IF(10&lt;1,0,MAX((IF(10=1,'Annahmen'!$C$149,H294))-H166,0))</f>
      </c>
      <c r="I295" s="51">
        <f>IF(10&lt;1,0,MAX((IF(10=1,'Annahmen'!$C$150,I294))-I166,0))</f>
      </c>
      <c r="J295" s="51">
        <f>IF((9-(('Annahmen'!$I$155-2026)*12+'Annahmen'!$H$155-1)+1)&lt;1,0,MAX((IF((9-(('Annahmen'!$I$155-2026)*12+'Annahmen'!$H$155-1)+1)=1,'Annahmen'!$C$155,J294))-J209,0))</f>
      </c>
      <c r="K295" s="51">
        <f>IF((9-(('Annahmen'!$I$156-2026)*12+'Annahmen'!$H$156-1)+1)&lt;1,0,MAX((IF((9-(('Annahmen'!$I$156-2026)*12+'Annahmen'!$H$156-1)+1)=1,'Annahmen'!$C$156,K294))-K209,0))</f>
      </c>
      <c r="L295" s="51">
        <f>IF((9-(('Annahmen'!$I$157-2026)*12+'Annahmen'!$H$157-1)+1)&lt;1,0,MAX((IF((9-(('Annahmen'!$I$157-2026)*12+'Annahmen'!$H$157-1)+1)=1,'Annahmen'!$C$157,L294))-L209,0))</f>
      </c>
      <c r="M295" s="51">
        <f>IF((9-(('Annahmen'!$I$158-2026)*12+'Annahmen'!$H$158-1)+1)&lt;1,0,MAX((IF((9-(('Annahmen'!$I$158-2026)*12+'Annahmen'!$H$158-1)+1)=1,'Annahmen'!$C$158,M294))-M209,0))</f>
      </c>
      <c r="N295" s="51">
        <f>IF((9-(('Annahmen'!$I$159-2026)*12+'Annahmen'!$H$159-1)+1)&lt;1,0,MAX((IF((9-(('Annahmen'!$I$159-2026)*12+'Annahmen'!$H$159-1)+1)=1,'Annahmen'!$C$159,N294))-N209,0))</f>
      </c>
      <c r="O295" s="114">
        <f>SUM(C295:N295)</f>
      </c>
    </row>
    <row r="296" ht="15" customHeight="1" hidden="1" spans="2:15" x14ac:dyDescent="0.25" outlineLevel="1" collapsed="1">
      <c r="B296" s="113" t="s">
        <v>230</v>
      </c>
      <c r="C296" s="51">
        <f>IF(11&lt;1,0,MAX((IF(11=1,'Annahmen'!$C$144,C295))-C167,0))</f>
      </c>
      <c r="D296" s="51">
        <f>IF(11&lt;1,0,MAX((IF(11=1,'Annahmen'!$C$145,D295))-D167,0))</f>
      </c>
      <c r="E296" s="51">
        <f>IF(11&lt;1,0,MAX((IF(11=1,'Annahmen'!$C$146,E295))-E167,0))</f>
      </c>
      <c r="F296" s="51">
        <f>IF(11&lt;1,0,MAX((IF(11=1,'Annahmen'!$C$147,F295))-F167,0))</f>
      </c>
      <c r="G296" s="51">
        <f>IF(11&lt;1,0,MAX((IF(11=1,'Annahmen'!$C$148,G295))-G167,0))</f>
      </c>
      <c r="H296" s="51">
        <f>IF(11&lt;1,0,MAX((IF(11=1,'Annahmen'!$C$149,H295))-H167,0))</f>
      </c>
      <c r="I296" s="51">
        <f>IF(11&lt;1,0,MAX((IF(11=1,'Annahmen'!$C$150,I295))-I167,0))</f>
      </c>
      <c r="J296" s="51">
        <f>IF((10-(('Annahmen'!$I$155-2026)*12+'Annahmen'!$H$155-1)+1)&lt;1,0,MAX((IF((10-(('Annahmen'!$I$155-2026)*12+'Annahmen'!$H$155-1)+1)=1,'Annahmen'!$C$155,J295))-J210,0))</f>
      </c>
      <c r="K296" s="51">
        <f>IF((10-(('Annahmen'!$I$156-2026)*12+'Annahmen'!$H$156-1)+1)&lt;1,0,MAX((IF((10-(('Annahmen'!$I$156-2026)*12+'Annahmen'!$H$156-1)+1)=1,'Annahmen'!$C$156,K295))-K210,0))</f>
      </c>
      <c r="L296" s="51">
        <f>IF((10-(('Annahmen'!$I$157-2026)*12+'Annahmen'!$H$157-1)+1)&lt;1,0,MAX((IF((10-(('Annahmen'!$I$157-2026)*12+'Annahmen'!$H$157-1)+1)=1,'Annahmen'!$C$157,L295))-L210,0))</f>
      </c>
      <c r="M296" s="51">
        <f>IF((10-(('Annahmen'!$I$158-2026)*12+'Annahmen'!$H$158-1)+1)&lt;1,0,MAX((IF((10-(('Annahmen'!$I$158-2026)*12+'Annahmen'!$H$158-1)+1)=1,'Annahmen'!$C$158,M295))-M210,0))</f>
      </c>
      <c r="N296" s="51">
        <f>IF((10-(('Annahmen'!$I$159-2026)*12+'Annahmen'!$H$159-1)+1)&lt;1,0,MAX((IF((10-(('Annahmen'!$I$159-2026)*12+'Annahmen'!$H$159-1)+1)=1,'Annahmen'!$C$159,N295))-N210,0))</f>
      </c>
      <c r="O296" s="114">
        <f>SUM(C296:N296)</f>
      </c>
    </row>
    <row r="297" ht="15" customHeight="1" hidden="1" spans="2:15" x14ac:dyDescent="0.25" outlineLevel="1" collapsed="1">
      <c r="B297" s="113" t="s">
        <v>231</v>
      </c>
      <c r="C297" s="51">
        <f>IF(12&lt;1,0,MAX((IF(12=1,'Annahmen'!$C$144,C296))-C168,0))</f>
      </c>
      <c r="D297" s="51">
        <f>IF(12&lt;1,0,MAX((IF(12=1,'Annahmen'!$C$145,D296))-D168,0))</f>
      </c>
      <c r="E297" s="51">
        <f>IF(12&lt;1,0,MAX((IF(12=1,'Annahmen'!$C$146,E296))-E168,0))</f>
      </c>
      <c r="F297" s="51">
        <f>IF(12&lt;1,0,MAX((IF(12=1,'Annahmen'!$C$147,F296))-F168,0))</f>
      </c>
      <c r="G297" s="51">
        <f>IF(12&lt;1,0,MAX((IF(12=1,'Annahmen'!$C$148,G296))-G168,0))</f>
      </c>
      <c r="H297" s="51">
        <f>IF(12&lt;1,0,MAX((IF(12=1,'Annahmen'!$C$149,H296))-H168,0))</f>
      </c>
      <c r="I297" s="51">
        <f>IF(12&lt;1,0,MAX((IF(12=1,'Annahmen'!$C$150,I296))-I168,0))</f>
      </c>
      <c r="J297" s="51">
        <f>IF((11-(('Annahmen'!$I$155-2026)*12+'Annahmen'!$H$155-1)+1)&lt;1,0,MAX((IF((11-(('Annahmen'!$I$155-2026)*12+'Annahmen'!$H$155-1)+1)=1,'Annahmen'!$C$155,J296))-J211,0))</f>
      </c>
      <c r="K297" s="51">
        <f>IF((11-(('Annahmen'!$I$156-2026)*12+'Annahmen'!$H$156-1)+1)&lt;1,0,MAX((IF((11-(('Annahmen'!$I$156-2026)*12+'Annahmen'!$H$156-1)+1)=1,'Annahmen'!$C$156,K296))-K211,0))</f>
      </c>
      <c r="L297" s="51">
        <f>IF((11-(('Annahmen'!$I$157-2026)*12+'Annahmen'!$H$157-1)+1)&lt;1,0,MAX((IF((11-(('Annahmen'!$I$157-2026)*12+'Annahmen'!$H$157-1)+1)=1,'Annahmen'!$C$157,L296))-L211,0))</f>
      </c>
      <c r="M297" s="51">
        <f>IF((11-(('Annahmen'!$I$158-2026)*12+'Annahmen'!$H$158-1)+1)&lt;1,0,MAX((IF((11-(('Annahmen'!$I$158-2026)*12+'Annahmen'!$H$158-1)+1)=1,'Annahmen'!$C$158,M296))-M211,0))</f>
      </c>
      <c r="N297" s="51">
        <f>IF((11-(('Annahmen'!$I$159-2026)*12+'Annahmen'!$H$159-1)+1)&lt;1,0,MAX((IF((11-(('Annahmen'!$I$159-2026)*12+'Annahmen'!$H$159-1)+1)=1,'Annahmen'!$C$159,N296))-N211,0))</f>
      </c>
      <c r="O297" s="114">
        <f>SUM(C297:N297)</f>
      </c>
    </row>
    <row r="298" ht="15" customHeight="1" hidden="1" spans="2:15" x14ac:dyDescent="0.25" outlineLevel="1" collapsed="1">
      <c r="B298" s="115" t="s">
        <v>232</v>
      </c>
      <c r="C298" s="23">
        <f>C297</f>
      </c>
      <c r="D298" s="23">
        <f>D297</f>
      </c>
      <c r="E298" s="23">
        <f>E297</f>
      </c>
      <c r="F298" s="23">
        <f>F297</f>
      </c>
      <c r="G298" s="23">
        <f>G297</f>
      </c>
      <c r="H298" s="23">
        <f>H297</f>
      </c>
      <c r="I298" s="23">
        <f>I297</f>
      </c>
      <c r="J298" s="23">
        <f>J297</f>
      </c>
      <c r="K298" s="23">
        <f>K297</f>
      </c>
      <c r="L298" s="23">
        <f>L297</f>
      </c>
      <c r="M298" s="23">
        <f>M297</f>
      </c>
      <c r="N298" s="23">
        <f>N297</f>
      </c>
      <c r="O298" s="116">
        <f>O297</f>
      </c>
    </row>
    <row r="299" ht="15" customHeight="1" hidden="1" spans="2:15" x14ac:dyDescent="0.25" outlineLevel="1" collapsed="1">
      <c r="B299" s="113" t="s">
        <v>233</v>
      </c>
      <c r="C299" s="51">
        <f>IF(13&lt;1,0,MAX((IF(13=1,'Annahmen'!$C$144,C297))-C170,0))</f>
      </c>
      <c r="D299" s="51">
        <f>IF(13&lt;1,0,MAX((IF(13=1,'Annahmen'!$C$145,D297))-D170,0))</f>
      </c>
      <c r="E299" s="51">
        <f>IF(13&lt;1,0,MAX((IF(13=1,'Annahmen'!$C$146,E297))-E170,0))</f>
      </c>
      <c r="F299" s="51">
        <f>IF(13&lt;1,0,MAX((IF(13=1,'Annahmen'!$C$147,F297))-F170,0))</f>
      </c>
      <c r="G299" s="51">
        <f>IF(13&lt;1,0,MAX((IF(13=1,'Annahmen'!$C$148,G297))-G170,0))</f>
      </c>
      <c r="H299" s="51">
        <f>IF(13&lt;1,0,MAX((IF(13=1,'Annahmen'!$C$149,H297))-H170,0))</f>
      </c>
      <c r="I299" s="51">
        <f>IF(13&lt;1,0,MAX((IF(13=1,'Annahmen'!$C$150,I297))-I170,0))</f>
      </c>
      <c r="J299" s="51">
        <f>IF((12-(('Annahmen'!$I$155-2026)*12+'Annahmen'!$H$155-1)+1)&lt;1,0,MAX((IF((12-(('Annahmen'!$I$155-2026)*12+'Annahmen'!$H$155-1)+1)=1,'Annahmen'!$C$155,J297))-J213,0))</f>
      </c>
      <c r="K299" s="51">
        <f>IF((12-(('Annahmen'!$I$156-2026)*12+'Annahmen'!$H$156-1)+1)&lt;1,0,MAX((IF((12-(('Annahmen'!$I$156-2026)*12+'Annahmen'!$H$156-1)+1)=1,'Annahmen'!$C$156,K297))-K213,0))</f>
      </c>
      <c r="L299" s="51">
        <f>IF((12-(('Annahmen'!$I$157-2026)*12+'Annahmen'!$H$157-1)+1)&lt;1,0,MAX((IF((12-(('Annahmen'!$I$157-2026)*12+'Annahmen'!$H$157-1)+1)=1,'Annahmen'!$C$157,L297))-L213,0))</f>
      </c>
      <c r="M299" s="51">
        <f>IF((12-(('Annahmen'!$I$158-2026)*12+'Annahmen'!$H$158-1)+1)&lt;1,0,MAX((IF((12-(('Annahmen'!$I$158-2026)*12+'Annahmen'!$H$158-1)+1)=1,'Annahmen'!$C$158,M297))-M213,0))</f>
      </c>
      <c r="N299" s="51">
        <f>IF((12-(('Annahmen'!$I$159-2026)*12+'Annahmen'!$H$159-1)+1)&lt;1,0,MAX((IF((12-(('Annahmen'!$I$159-2026)*12+'Annahmen'!$H$159-1)+1)=1,'Annahmen'!$C$159,N297))-N213,0))</f>
      </c>
      <c r="O299" s="114">
        <f>SUM(C299:N299)</f>
      </c>
    </row>
    <row r="300" ht="15" customHeight="1" hidden="1" spans="2:15" x14ac:dyDescent="0.25" outlineLevel="1" collapsed="1">
      <c r="B300" s="113" t="s">
        <v>234</v>
      </c>
      <c r="C300" s="51">
        <f>IF(14&lt;1,0,MAX((IF(14=1,'Annahmen'!$C$144,C299))-C171,0))</f>
      </c>
      <c r="D300" s="51">
        <f>IF(14&lt;1,0,MAX((IF(14=1,'Annahmen'!$C$145,D299))-D171,0))</f>
      </c>
      <c r="E300" s="51">
        <f>IF(14&lt;1,0,MAX((IF(14=1,'Annahmen'!$C$146,E299))-E171,0))</f>
      </c>
      <c r="F300" s="51">
        <f>IF(14&lt;1,0,MAX((IF(14=1,'Annahmen'!$C$147,F299))-F171,0))</f>
      </c>
      <c r="G300" s="51">
        <f>IF(14&lt;1,0,MAX((IF(14=1,'Annahmen'!$C$148,G299))-G171,0))</f>
      </c>
      <c r="H300" s="51">
        <f>IF(14&lt;1,0,MAX((IF(14=1,'Annahmen'!$C$149,H299))-H171,0))</f>
      </c>
      <c r="I300" s="51">
        <f>IF(14&lt;1,0,MAX((IF(14=1,'Annahmen'!$C$150,I299))-I171,0))</f>
      </c>
      <c r="J300" s="51">
        <f>IF((13-(('Annahmen'!$I$155-2026)*12+'Annahmen'!$H$155-1)+1)&lt;1,0,MAX((IF((13-(('Annahmen'!$I$155-2026)*12+'Annahmen'!$H$155-1)+1)=1,'Annahmen'!$C$155,J299))-J214,0))</f>
      </c>
      <c r="K300" s="51">
        <f>IF((13-(('Annahmen'!$I$156-2026)*12+'Annahmen'!$H$156-1)+1)&lt;1,0,MAX((IF((13-(('Annahmen'!$I$156-2026)*12+'Annahmen'!$H$156-1)+1)=1,'Annahmen'!$C$156,K299))-K214,0))</f>
      </c>
      <c r="L300" s="51">
        <f>IF((13-(('Annahmen'!$I$157-2026)*12+'Annahmen'!$H$157-1)+1)&lt;1,0,MAX((IF((13-(('Annahmen'!$I$157-2026)*12+'Annahmen'!$H$157-1)+1)=1,'Annahmen'!$C$157,L299))-L214,0))</f>
      </c>
      <c r="M300" s="51">
        <f>IF((13-(('Annahmen'!$I$158-2026)*12+'Annahmen'!$H$158-1)+1)&lt;1,0,MAX((IF((13-(('Annahmen'!$I$158-2026)*12+'Annahmen'!$H$158-1)+1)=1,'Annahmen'!$C$158,M299))-M214,0))</f>
      </c>
      <c r="N300" s="51">
        <f>IF((13-(('Annahmen'!$I$159-2026)*12+'Annahmen'!$H$159-1)+1)&lt;1,0,MAX((IF((13-(('Annahmen'!$I$159-2026)*12+'Annahmen'!$H$159-1)+1)=1,'Annahmen'!$C$159,N299))-N214,0))</f>
      </c>
      <c r="O300" s="114">
        <f>SUM(C300:N300)</f>
      </c>
    </row>
    <row r="301" ht="15" customHeight="1" hidden="1" spans="2:15" x14ac:dyDescent="0.25" outlineLevel="1" collapsed="1">
      <c r="B301" s="113" t="s">
        <v>235</v>
      </c>
      <c r="C301" s="51">
        <f>IF(15&lt;1,0,MAX((IF(15=1,'Annahmen'!$C$144,C300))-C172,0))</f>
      </c>
      <c r="D301" s="51">
        <f>IF(15&lt;1,0,MAX((IF(15=1,'Annahmen'!$C$145,D300))-D172,0))</f>
      </c>
      <c r="E301" s="51">
        <f>IF(15&lt;1,0,MAX((IF(15=1,'Annahmen'!$C$146,E300))-E172,0))</f>
      </c>
      <c r="F301" s="51">
        <f>IF(15&lt;1,0,MAX((IF(15=1,'Annahmen'!$C$147,F300))-F172,0))</f>
      </c>
      <c r="G301" s="51">
        <f>IF(15&lt;1,0,MAX((IF(15=1,'Annahmen'!$C$148,G300))-G172,0))</f>
      </c>
      <c r="H301" s="51">
        <f>IF(15&lt;1,0,MAX((IF(15=1,'Annahmen'!$C$149,H300))-H172,0))</f>
      </c>
      <c r="I301" s="51">
        <f>IF(15&lt;1,0,MAX((IF(15=1,'Annahmen'!$C$150,I300))-I172,0))</f>
      </c>
      <c r="J301" s="51">
        <f>IF((14-(('Annahmen'!$I$155-2026)*12+'Annahmen'!$H$155-1)+1)&lt;1,0,MAX((IF((14-(('Annahmen'!$I$155-2026)*12+'Annahmen'!$H$155-1)+1)=1,'Annahmen'!$C$155,J300))-J215,0))</f>
      </c>
      <c r="K301" s="51">
        <f>IF((14-(('Annahmen'!$I$156-2026)*12+'Annahmen'!$H$156-1)+1)&lt;1,0,MAX((IF((14-(('Annahmen'!$I$156-2026)*12+'Annahmen'!$H$156-1)+1)=1,'Annahmen'!$C$156,K300))-K215,0))</f>
      </c>
      <c r="L301" s="51">
        <f>IF((14-(('Annahmen'!$I$157-2026)*12+'Annahmen'!$H$157-1)+1)&lt;1,0,MAX((IF((14-(('Annahmen'!$I$157-2026)*12+'Annahmen'!$H$157-1)+1)=1,'Annahmen'!$C$157,L300))-L215,0))</f>
      </c>
      <c r="M301" s="51">
        <f>IF((14-(('Annahmen'!$I$158-2026)*12+'Annahmen'!$H$158-1)+1)&lt;1,0,MAX((IF((14-(('Annahmen'!$I$158-2026)*12+'Annahmen'!$H$158-1)+1)=1,'Annahmen'!$C$158,M300))-M215,0))</f>
      </c>
      <c r="N301" s="51">
        <f>IF((14-(('Annahmen'!$I$159-2026)*12+'Annahmen'!$H$159-1)+1)&lt;1,0,MAX((IF((14-(('Annahmen'!$I$159-2026)*12+'Annahmen'!$H$159-1)+1)=1,'Annahmen'!$C$159,N300))-N215,0))</f>
      </c>
      <c r="O301" s="114">
        <f>SUM(C301:N301)</f>
      </c>
    </row>
    <row r="302" ht="15" customHeight="1" hidden="1" spans="2:15" x14ac:dyDescent="0.25" outlineLevel="1" collapsed="1">
      <c r="B302" s="113" t="s">
        <v>236</v>
      </c>
      <c r="C302" s="51">
        <f>IF(16&lt;1,0,MAX((IF(16=1,'Annahmen'!$C$144,C301))-C173,0))</f>
      </c>
      <c r="D302" s="51">
        <f>IF(16&lt;1,0,MAX((IF(16=1,'Annahmen'!$C$145,D301))-D173,0))</f>
      </c>
      <c r="E302" s="51">
        <f>IF(16&lt;1,0,MAX((IF(16=1,'Annahmen'!$C$146,E301))-E173,0))</f>
      </c>
      <c r="F302" s="51">
        <f>IF(16&lt;1,0,MAX((IF(16=1,'Annahmen'!$C$147,F301))-F173,0))</f>
      </c>
      <c r="G302" s="51">
        <f>IF(16&lt;1,0,MAX((IF(16=1,'Annahmen'!$C$148,G301))-G173,0))</f>
      </c>
      <c r="H302" s="51">
        <f>IF(16&lt;1,0,MAX((IF(16=1,'Annahmen'!$C$149,H301))-H173,0))</f>
      </c>
      <c r="I302" s="51">
        <f>IF(16&lt;1,0,MAX((IF(16=1,'Annahmen'!$C$150,I301))-I173,0))</f>
      </c>
      <c r="J302" s="51">
        <f>IF((15-(('Annahmen'!$I$155-2026)*12+'Annahmen'!$H$155-1)+1)&lt;1,0,MAX((IF((15-(('Annahmen'!$I$155-2026)*12+'Annahmen'!$H$155-1)+1)=1,'Annahmen'!$C$155,J301))-J216,0))</f>
      </c>
      <c r="K302" s="51">
        <f>IF((15-(('Annahmen'!$I$156-2026)*12+'Annahmen'!$H$156-1)+1)&lt;1,0,MAX((IF((15-(('Annahmen'!$I$156-2026)*12+'Annahmen'!$H$156-1)+1)=1,'Annahmen'!$C$156,K301))-K216,0))</f>
      </c>
      <c r="L302" s="51">
        <f>IF((15-(('Annahmen'!$I$157-2026)*12+'Annahmen'!$H$157-1)+1)&lt;1,0,MAX((IF((15-(('Annahmen'!$I$157-2026)*12+'Annahmen'!$H$157-1)+1)=1,'Annahmen'!$C$157,L301))-L216,0))</f>
      </c>
      <c r="M302" s="51">
        <f>IF((15-(('Annahmen'!$I$158-2026)*12+'Annahmen'!$H$158-1)+1)&lt;1,0,MAX((IF((15-(('Annahmen'!$I$158-2026)*12+'Annahmen'!$H$158-1)+1)=1,'Annahmen'!$C$158,M301))-M216,0))</f>
      </c>
      <c r="N302" s="51">
        <f>IF((15-(('Annahmen'!$I$159-2026)*12+'Annahmen'!$H$159-1)+1)&lt;1,0,MAX((IF((15-(('Annahmen'!$I$159-2026)*12+'Annahmen'!$H$159-1)+1)=1,'Annahmen'!$C$159,N301))-N216,0))</f>
      </c>
      <c r="O302" s="114">
        <f>SUM(C302:N302)</f>
      </c>
    </row>
    <row r="303" ht="15" customHeight="1" hidden="1" spans="2:15" x14ac:dyDescent="0.25" outlineLevel="1" collapsed="1">
      <c r="B303" s="113" t="s">
        <v>237</v>
      </c>
      <c r="C303" s="51">
        <f>IF(17&lt;1,0,MAX((IF(17=1,'Annahmen'!$C$144,C302))-C174,0))</f>
      </c>
      <c r="D303" s="51">
        <f>IF(17&lt;1,0,MAX((IF(17=1,'Annahmen'!$C$145,D302))-D174,0))</f>
      </c>
      <c r="E303" s="51">
        <f>IF(17&lt;1,0,MAX((IF(17=1,'Annahmen'!$C$146,E302))-E174,0))</f>
      </c>
      <c r="F303" s="51">
        <f>IF(17&lt;1,0,MAX((IF(17=1,'Annahmen'!$C$147,F302))-F174,0))</f>
      </c>
      <c r="G303" s="51">
        <f>IF(17&lt;1,0,MAX((IF(17=1,'Annahmen'!$C$148,G302))-G174,0))</f>
      </c>
      <c r="H303" s="51">
        <f>IF(17&lt;1,0,MAX((IF(17=1,'Annahmen'!$C$149,H302))-H174,0))</f>
      </c>
      <c r="I303" s="51">
        <f>IF(17&lt;1,0,MAX((IF(17=1,'Annahmen'!$C$150,I302))-I174,0))</f>
      </c>
      <c r="J303" s="51">
        <f>IF((16-(('Annahmen'!$I$155-2026)*12+'Annahmen'!$H$155-1)+1)&lt;1,0,MAX((IF((16-(('Annahmen'!$I$155-2026)*12+'Annahmen'!$H$155-1)+1)=1,'Annahmen'!$C$155,J302))-J217,0))</f>
      </c>
      <c r="K303" s="51">
        <f>IF((16-(('Annahmen'!$I$156-2026)*12+'Annahmen'!$H$156-1)+1)&lt;1,0,MAX((IF((16-(('Annahmen'!$I$156-2026)*12+'Annahmen'!$H$156-1)+1)=1,'Annahmen'!$C$156,K302))-K217,0))</f>
      </c>
      <c r="L303" s="51">
        <f>IF((16-(('Annahmen'!$I$157-2026)*12+'Annahmen'!$H$157-1)+1)&lt;1,0,MAX((IF((16-(('Annahmen'!$I$157-2026)*12+'Annahmen'!$H$157-1)+1)=1,'Annahmen'!$C$157,L302))-L217,0))</f>
      </c>
      <c r="M303" s="51">
        <f>IF((16-(('Annahmen'!$I$158-2026)*12+'Annahmen'!$H$158-1)+1)&lt;1,0,MAX((IF((16-(('Annahmen'!$I$158-2026)*12+'Annahmen'!$H$158-1)+1)=1,'Annahmen'!$C$158,M302))-M217,0))</f>
      </c>
      <c r="N303" s="51">
        <f>IF((16-(('Annahmen'!$I$159-2026)*12+'Annahmen'!$H$159-1)+1)&lt;1,0,MAX((IF((16-(('Annahmen'!$I$159-2026)*12+'Annahmen'!$H$159-1)+1)=1,'Annahmen'!$C$159,N302))-N217,0))</f>
      </c>
      <c r="O303" s="114">
        <f>SUM(C303:N303)</f>
      </c>
    </row>
    <row r="304" ht="15" customHeight="1" hidden="1" spans="2:15" x14ac:dyDescent="0.25" outlineLevel="1" collapsed="1">
      <c r="B304" s="113" t="s">
        <v>238</v>
      </c>
      <c r="C304" s="51">
        <f>IF(18&lt;1,0,MAX((IF(18=1,'Annahmen'!$C$144,C303))-C175,0))</f>
      </c>
      <c r="D304" s="51">
        <f>IF(18&lt;1,0,MAX((IF(18=1,'Annahmen'!$C$145,D303))-D175,0))</f>
      </c>
      <c r="E304" s="51">
        <f>IF(18&lt;1,0,MAX((IF(18=1,'Annahmen'!$C$146,E303))-E175,0))</f>
      </c>
      <c r="F304" s="51">
        <f>IF(18&lt;1,0,MAX((IF(18=1,'Annahmen'!$C$147,F303))-F175,0))</f>
      </c>
      <c r="G304" s="51">
        <f>IF(18&lt;1,0,MAX((IF(18=1,'Annahmen'!$C$148,G303))-G175,0))</f>
      </c>
      <c r="H304" s="51">
        <f>IF(18&lt;1,0,MAX((IF(18=1,'Annahmen'!$C$149,H303))-H175,0))</f>
      </c>
      <c r="I304" s="51">
        <f>IF(18&lt;1,0,MAX((IF(18=1,'Annahmen'!$C$150,I303))-I175,0))</f>
      </c>
      <c r="J304" s="51">
        <f>IF((17-(('Annahmen'!$I$155-2026)*12+'Annahmen'!$H$155-1)+1)&lt;1,0,MAX((IF((17-(('Annahmen'!$I$155-2026)*12+'Annahmen'!$H$155-1)+1)=1,'Annahmen'!$C$155,J303))-J218,0))</f>
      </c>
      <c r="K304" s="51">
        <f>IF((17-(('Annahmen'!$I$156-2026)*12+'Annahmen'!$H$156-1)+1)&lt;1,0,MAX((IF((17-(('Annahmen'!$I$156-2026)*12+'Annahmen'!$H$156-1)+1)=1,'Annahmen'!$C$156,K303))-K218,0))</f>
      </c>
      <c r="L304" s="51">
        <f>IF((17-(('Annahmen'!$I$157-2026)*12+'Annahmen'!$H$157-1)+1)&lt;1,0,MAX((IF((17-(('Annahmen'!$I$157-2026)*12+'Annahmen'!$H$157-1)+1)=1,'Annahmen'!$C$157,L303))-L218,0))</f>
      </c>
      <c r="M304" s="51">
        <f>IF((17-(('Annahmen'!$I$158-2026)*12+'Annahmen'!$H$158-1)+1)&lt;1,0,MAX((IF((17-(('Annahmen'!$I$158-2026)*12+'Annahmen'!$H$158-1)+1)=1,'Annahmen'!$C$158,M303))-M218,0))</f>
      </c>
      <c r="N304" s="51">
        <f>IF((17-(('Annahmen'!$I$159-2026)*12+'Annahmen'!$H$159-1)+1)&lt;1,0,MAX((IF((17-(('Annahmen'!$I$159-2026)*12+'Annahmen'!$H$159-1)+1)=1,'Annahmen'!$C$159,N303))-N218,0))</f>
      </c>
      <c r="O304" s="114">
        <f>SUM(C304:N304)</f>
      </c>
    </row>
    <row r="305" ht="15" customHeight="1" hidden="1" spans="2:15" x14ac:dyDescent="0.25" outlineLevel="1" collapsed="1">
      <c r="B305" s="113" t="s">
        <v>239</v>
      </c>
      <c r="C305" s="51">
        <f>IF(19&lt;1,0,MAX((IF(19=1,'Annahmen'!$C$144,C304))-C176,0))</f>
      </c>
      <c r="D305" s="51">
        <f>IF(19&lt;1,0,MAX((IF(19=1,'Annahmen'!$C$145,D304))-D176,0))</f>
      </c>
      <c r="E305" s="51">
        <f>IF(19&lt;1,0,MAX((IF(19=1,'Annahmen'!$C$146,E304))-E176,0))</f>
      </c>
      <c r="F305" s="51">
        <f>IF(19&lt;1,0,MAX((IF(19=1,'Annahmen'!$C$147,F304))-F176,0))</f>
      </c>
      <c r="G305" s="51">
        <f>IF(19&lt;1,0,MAX((IF(19=1,'Annahmen'!$C$148,G304))-G176,0))</f>
      </c>
      <c r="H305" s="51">
        <f>IF(19&lt;1,0,MAX((IF(19=1,'Annahmen'!$C$149,H304))-H176,0))</f>
      </c>
      <c r="I305" s="51">
        <f>IF(19&lt;1,0,MAX((IF(19=1,'Annahmen'!$C$150,I304))-I176,0))</f>
      </c>
      <c r="J305" s="51">
        <f>IF((18-(('Annahmen'!$I$155-2026)*12+'Annahmen'!$H$155-1)+1)&lt;1,0,MAX((IF((18-(('Annahmen'!$I$155-2026)*12+'Annahmen'!$H$155-1)+1)=1,'Annahmen'!$C$155,J304))-J219,0))</f>
      </c>
      <c r="K305" s="51">
        <f>IF((18-(('Annahmen'!$I$156-2026)*12+'Annahmen'!$H$156-1)+1)&lt;1,0,MAX((IF((18-(('Annahmen'!$I$156-2026)*12+'Annahmen'!$H$156-1)+1)=1,'Annahmen'!$C$156,K304))-K219,0))</f>
      </c>
      <c r="L305" s="51">
        <f>IF((18-(('Annahmen'!$I$157-2026)*12+'Annahmen'!$H$157-1)+1)&lt;1,0,MAX((IF((18-(('Annahmen'!$I$157-2026)*12+'Annahmen'!$H$157-1)+1)=1,'Annahmen'!$C$157,L304))-L219,0))</f>
      </c>
      <c r="M305" s="51">
        <f>IF((18-(('Annahmen'!$I$158-2026)*12+'Annahmen'!$H$158-1)+1)&lt;1,0,MAX((IF((18-(('Annahmen'!$I$158-2026)*12+'Annahmen'!$H$158-1)+1)=1,'Annahmen'!$C$158,M304))-M219,0))</f>
      </c>
      <c r="N305" s="51">
        <f>IF((18-(('Annahmen'!$I$159-2026)*12+'Annahmen'!$H$159-1)+1)&lt;1,0,MAX((IF((18-(('Annahmen'!$I$159-2026)*12+'Annahmen'!$H$159-1)+1)=1,'Annahmen'!$C$159,N304))-N219,0))</f>
      </c>
      <c r="O305" s="114">
        <f>SUM(C305:N305)</f>
      </c>
    </row>
    <row r="306" ht="15" customHeight="1" hidden="1" spans="2:15" x14ac:dyDescent="0.25" outlineLevel="1" collapsed="1">
      <c r="B306" s="113" t="s">
        <v>240</v>
      </c>
      <c r="C306" s="51">
        <f>IF(20&lt;1,0,MAX((IF(20=1,'Annahmen'!$C$144,C305))-C177,0))</f>
      </c>
      <c r="D306" s="51">
        <f>IF(20&lt;1,0,MAX((IF(20=1,'Annahmen'!$C$145,D305))-D177,0))</f>
      </c>
      <c r="E306" s="51">
        <f>IF(20&lt;1,0,MAX((IF(20=1,'Annahmen'!$C$146,E305))-E177,0))</f>
      </c>
      <c r="F306" s="51">
        <f>IF(20&lt;1,0,MAX((IF(20=1,'Annahmen'!$C$147,F305))-F177,0))</f>
      </c>
      <c r="G306" s="51">
        <f>IF(20&lt;1,0,MAX((IF(20=1,'Annahmen'!$C$148,G305))-G177,0))</f>
      </c>
      <c r="H306" s="51">
        <f>IF(20&lt;1,0,MAX((IF(20=1,'Annahmen'!$C$149,H305))-H177,0))</f>
      </c>
      <c r="I306" s="51">
        <f>IF(20&lt;1,0,MAX((IF(20=1,'Annahmen'!$C$150,I305))-I177,0))</f>
      </c>
      <c r="J306" s="51">
        <f>IF((19-(('Annahmen'!$I$155-2026)*12+'Annahmen'!$H$155-1)+1)&lt;1,0,MAX((IF((19-(('Annahmen'!$I$155-2026)*12+'Annahmen'!$H$155-1)+1)=1,'Annahmen'!$C$155,J305))-J220,0))</f>
      </c>
      <c r="K306" s="51">
        <f>IF((19-(('Annahmen'!$I$156-2026)*12+'Annahmen'!$H$156-1)+1)&lt;1,0,MAX((IF((19-(('Annahmen'!$I$156-2026)*12+'Annahmen'!$H$156-1)+1)=1,'Annahmen'!$C$156,K305))-K220,0))</f>
      </c>
      <c r="L306" s="51">
        <f>IF((19-(('Annahmen'!$I$157-2026)*12+'Annahmen'!$H$157-1)+1)&lt;1,0,MAX((IF((19-(('Annahmen'!$I$157-2026)*12+'Annahmen'!$H$157-1)+1)=1,'Annahmen'!$C$157,L305))-L220,0))</f>
      </c>
      <c r="M306" s="51">
        <f>IF((19-(('Annahmen'!$I$158-2026)*12+'Annahmen'!$H$158-1)+1)&lt;1,0,MAX((IF((19-(('Annahmen'!$I$158-2026)*12+'Annahmen'!$H$158-1)+1)=1,'Annahmen'!$C$158,M305))-M220,0))</f>
      </c>
      <c r="N306" s="51">
        <f>IF((19-(('Annahmen'!$I$159-2026)*12+'Annahmen'!$H$159-1)+1)&lt;1,0,MAX((IF((19-(('Annahmen'!$I$159-2026)*12+'Annahmen'!$H$159-1)+1)=1,'Annahmen'!$C$159,N305))-N220,0))</f>
      </c>
      <c r="O306" s="114">
        <f>SUM(C306:N306)</f>
      </c>
    </row>
    <row r="307" ht="15" customHeight="1" hidden="1" spans="2:15" x14ac:dyDescent="0.25" outlineLevel="1" collapsed="1">
      <c r="B307" s="113" t="s">
        <v>241</v>
      </c>
      <c r="C307" s="51">
        <f>IF(21&lt;1,0,MAX((IF(21=1,'Annahmen'!$C$144,C306))-C178,0))</f>
      </c>
      <c r="D307" s="51">
        <f>IF(21&lt;1,0,MAX((IF(21=1,'Annahmen'!$C$145,D306))-D178,0))</f>
      </c>
      <c r="E307" s="51">
        <f>IF(21&lt;1,0,MAX((IF(21=1,'Annahmen'!$C$146,E306))-E178,0))</f>
      </c>
      <c r="F307" s="51">
        <f>IF(21&lt;1,0,MAX((IF(21=1,'Annahmen'!$C$147,F306))-F178,0))</f>
      </c>
      <c r="G307" s="51">
        <f>IF(21&lt;1,0,MAX((IF(21=1,'Annahmen'!$C$148,G306))-G178,0))</f>
      </c>
      <c r="H307" s="51">
        <f>IF(21&lt;1,0,MAX((IF(21=1,'Annahmen'!$C$149,H306))-H178,0))</f>
      </c>
      <c r="I307" s="51">
        <f>IF(21&lt;1,0,MAX((IF(21=1,'Annahmen'!$C$150,I306))-I178,0))</f>
      </c>
      <c r="J307" s="51">
        <f>IF((20-(('Annahmen'!$I$155-2026)*12+'Annahmen'!$H$155-1)+1)&lt;1,0,MAX((IF((20-(('Annahmen'!$I$155-2026)*12+'Annahmen'!$H$155-1)+1)=1,'Annahmen'!$C$155,J306))-J221,0))</f>
      </c>
      <c r="K307" s="51">
        <f>IF((20-(('Annahmen'!$I$156-2026)*12+'Annahmen'!$H$156-1)+1)&lt;1,0,MAX((IF((20-(('Annahmen'!$I$156-2026)*12+'Annahmen'!$H$156-1)+1)=1,'Annahmen'!$C$156,K306))-K221,0))</f>
      </c>
      <c r="L307" s="51">
        <f>IF((20-(('Annahmen'!$I$157-2026)*12+'Annahmen'!$H$157-1)+1)&lt;1,0,MAX((IF((20-(('Annahmen'!$I$157-2026)*12+'Annahmen'!$H$157-1)+1)=1,'Annahmen'!$C$157,L306))-L221,0))</f>
      </c>
      <c r="M307" s="51">
        <f>IF((20-(('Annahmen'!$I$158-2026)*12+'Annahmen'!$H$158-1)+1)&lt;1,0,MAX((IF((20-(('Annahmen'!$I$158-2026)*12+'Annahmen'!$H$158-1)+1)=1,'Annahmen'!$C$158,M306))-M221,0))</f>
      </c>
      <c r="N307" s="51">
        <f>IF((20-(('Annahmen'!$I$159-2026)*12+'Annahmen'!$H$159-1)+1)&lt;1,0,MAX((IF((20-(('Annahmen'!$I$159-2026)*12+'Annahmen'!$H$159-1)+1)=1,'Annahmen'!$C$159,N306))-N221,0))</f>
      </c>
      <c r="O307" s="114">
        <f>SUM(C307:N307)</f>
      </c>
    </row>
    <row r="308" ht="15" customHeight="1" hidden="1" spans="2:15" x14ac:dyDescent="0.25" outlineLevel="1" collapsed="1">
      <c r="B308" s="113" t="s">
        <v>242</v>
      </c>
      <c r="C308" s="51">
        <f>IF(22&lt;1,0,MAX((IF(22=1,'Annahmen'!$C$144,C307))-C179,0))</f>
      </c>
      <c r="D308" s="51">
        <f>IF(22&lt;1,0,MAX((IF(22=1,'Annahmen'!$C$145,D307))-D179,0))</f>
      </c>
      <c r="E308" s="51">
        <f>IF(22&lt;1,0,MAX((IF(22=1,'Annahmen'!$C$146,E307))-E179,0))</f>
      </c>
      <c r="F308" s="51">
        <f>IF(22&lt;1,0,MAX((IF(22=1,'Annahmen'!$C$147,F307))-F179,0))</f>
      </c>
      <c r="G308" s="51">
        <f>IF(22&lt;1,0,MAX((IF(22=1,'Annahmen'!$C$148,G307))-G179,0))</f>
      </c>
      <c r="H308" s="51">
        <f>IF(22&lt;1,0,MAX((IF(22=1,'Annahmen'!$C$149,H307))-H179,0))</f>
      </c>
      <c r="I308" s="51">
        <f>IF(22&lt;1,0,MAX((IF(22=1,'Annahmen'!$C$150,I307))-I179,0))</f>
      </c>
      <c r="J308" s="51">
        <f>IF((21-(('Annahmen'!$I$155-2026)*12+'Annahmen'!$H$155-1)+1)&lt;1,0,MAX((IF((21-(('Annahmen'!$I$155-2026)*12+'Annahmen'!$H$155-1)+1)=1,'Annahmen'!$C$155,J307))-J222,0))</f>
      </c>
      <c r="K308" s="51">
        <f>IF((21-(('Annahmen'!$I$156-2026)*12+'Annahmen'!$H$156-1)+1)&lt;1,0,MAX((IF((21-(('Annahmen'!$I$156-2026)*12+'Annahmen'!$H$156-1)+1)=1,'Annahmen'!$C$156,K307))-K222,0))</f>
      </c>
      <c r="L308" s="51">
        <f>IF((21-(('Annahmen'!$I$157-2026)*12+'Annahmen'!$H$157-1)+1)&lt;1,0,MAX((IF((21-(('Annahmen'!$I$157-2026)*12+'Annahmen'!$H$157-1)+1)=1,'Annahmen'!$C$157,L307))-L222,0))</f>
      </c>
      <c r="M308" s="51">
        <f>IF((21-(('Annahmen'!$I$158-2026)*12+'Annahmen'!$H$158-1)+1)&lt;1,0,MAX((IF((21-(('Annahmen'!$I$158-2026)*12+'Annahmen'!$H$158-1)+1)=1,'Annahmen'!$C$158,M307))-M222,0))</f>
      </c>
      <c r="N308" s="51">
        <f>IF((21-(('Annahmen'!$I$159-2026)*12+'Annahmen'!$H$159-1)+1)&lt;1,0,MAX((IF((21-(('Annahmen'!$I$159-2026)*12+'Annahmen'!$H$159-1)+1)=1,'Annahmen'!$C$159,N307))-N222,0))</f>
      </c>
      <c r="O308" s="114">
        <f>SUM(C308:N308)</f>
      </c>
    </row>
    <row r="309" ht="15" customHeight="1" hidden="1" spans="2:15" x14ac:dyDescent="0.25" outlineLevel="1" collapsed="1">
      <c r="B309" s="113" t="s">
        <v>243</v>
      </c>
      <c r="C309" s="51">
        <f>IF(23&lt;1,0,MAX((IF(23=1,'Annahmen'!$C$144,C308))-C180,0))</f>
      </c>
      <c r="D309" s="51">
        <f>IF(23&lt;1,0,MAX((IF(23=1,'Annahmen'!$C$145,D308))-D180,0))</f>
      </c>
      <c r="E309" s="51">
        <f>IF(23&lt;1,0,MAX((IF(23=1,'Annahmen'!$C$146,E308))-E180,0))</f>
      </c>
      <c r="F309" s="51">
        <f>IF(23&lt;1,0,MAX((IF(23=1,'Annahmen'!$C$147,F308))-F180,0))</f>
      </c>
      <c r="G309" s="51">
        <f>IF(23&lt;1,0,MAX((IF(23=1,'Annahmen'!$C$148,G308))-G180,0))</f>
      </c>
      <c r="H309" s="51">
        <f>IF(23&lt;1,0,MAX((IF(23=1,'Annahmen'!$C$149,H308))-H180,0))</f>
      </c>
      <c r="I309" s="51">
        <f>IF(23&lt;1,0,MAX((IF(23=1,'Annahmen'!$C$150,I308))-I180,0))</f>
      </c>
      <c r="J309" s="51">
        <f>IF((22-(('Annahmen'!$I$155-2026)*12+'Annahmen'!$H$155-1)+1)&lt;1,0,MAX((IF((22-(('Annahmen'!$I$155-2026)*12+'Annahmen'!$H$155-1)+1)=1,'Annahmen'!$C$155,J308))-J223,0))</f>
      </c>
      <c r="K309" s="51">
        <f>IF((22-(('Annahmen'!$I$156-2026)*12+'Annahmen'!$H$156-1)+1)&lt;1,0,MAX((IF((22-(('Annahmen'!$I$156-2026)*12+'Annahmen'!$H$156-1)+1)=1,'Annahmen'!$C$156,K308))-K223,0))</f>
      </c>
      <c r="L309" s="51">
        <f>IF((22-(('Annahmen'!$I$157-2026)*12+'Annahmen'!$H$157-1)+1)&lt;1,0,MAX((IF((22-(('Annahmen'!$I$157-2026)*12+'Annahmen'!$H$157-1)+1)=1,'Annahmen'!$C$157,L308))-L223,0))</f>
      </c>
      <c r="M309" s="51">
        <f>IF((22-(('Annahmen'!$I$158-2026)*12+'Annahmen'!$H$158-1)+1)&lt;1,0,MAX((IF((22-(('Annahmen'!$I$158-2026)*12+'Annahmen'!$H$158-1)+1)=1,'Annahmen'!$C$158,M308))-M223,0))</f>
      </c>
      <c r="N309" s="51">
        <f>IF((22-(('Annahmen'!$I$159-2026)*12+'Annahmen'!$H$159-1)+1)&lt;1,0,MAX((IF((22-(('Annahmen'!$I$159-2026)*12+'Annahmen'!$H$159-1)+1)=1,'Annahmen'!$C$159,N308))-N223,0))</f>
      </c>
      <c r="O309" s="114">
        <f>SUM(C309:N309)</f>
      </c>
    </row>
    <row r="310" ht="15" customHeight="1" hidden="1" spans="2:15" x14ac:dyDescent="0.25" outlineLevel="1" collapsed="1">
      <c r="B310" s="113" t="s">
        <v>244</v>
      </c>
      <c r="C310" s="51">
        <f>IF(24&lt;1,0,MAX((IF(24=1,'Annahmen'!$C$144,C309))-C181,0))</f>
      </c>
      <c r="D310" s="51">
        <f>IF(24&lt;1,0,MAX((IF(24=1,'Annahmen'!$C$145,D309))-D181,0))</f>
      </c>
      <c r="E310" s="51">
        <f>IF(24&lt;1,0,MAX((IF(24=1,'Annahmen'!$C$146,E309))-E181,0))</f>
      </c>
      <c r="F310" s="51">
        <f>IF(24&lt;1,0,MAX((IF(24=1,'Annahmen'!$C$147,F309))-F181,0))</f>
      </c>
      <c r="G310" s="51">
        <f>IF(24&lt;1,0,MAX((IF(24=1,'Annahmen'!$C$148,G309))-G181,0))</f>
      </c>
      <c r="H310" s="51">
        <f>IF(24&lt;1,0,MAX((IF(24=1,'Annahmen'!$C$149,H309))-H181,0))</f>
      </c>
      <c r="I310" s="51">
        <f>IF(24&lt;1,0,MAX((IF(24=1,'Annahmen'!$C$150,I309))-I181,0))</f>
      </c>
      <c r="J310" s="51">
        <f>IF((23-(('Annahmen'!$I$155-2026)*12+'Annahmen'!$H$155-1)+1)&lt;1,0,MAX((IF((23-(('Annahmen'!$I$155-2026)*12+'Annahmen'!$H$155-1)+1)=1,'Annahmen'!$C$155,J309))-J224,0))</f>
      </c>
      <c r="K310" s="51">
        <f>IF((23-(('Annahmen'!$I$156-2026)*12+'Annahmen'!$H$156-1)+1)&lt;1,0,MAX((IF((23-(('Annahmen'!$I$156-2026)*12+'Annahmen'!$H$156-1)+1)=1,'Annahmen'!$C$156,K309))-K224,0))</f>
      </c>
      <c r="L310" s="51">
        <f>IF((23-(('Annahmen'!$I$157-2026)*12+'Annahmen'!$H$157-1)+1)&lt;1,0,MAX((IF((23-(('Annahmen'!$I$157-2026)*12+'Annahmen'!$H$157-1)+1)=1,'Annahmen'!$C$157,L309))-L224,0))</f>
      </c>
      <c r="M310" s="51">
        <f>IF((23-(('Annahmen'!$I$158-2026)*12+'Annahmen'!$H$158-1)+1)&lt;1,0,MAX((IF((23-(('Annahmen'!$I$158-2026)*12+'Annahmen'!$H$158-1)+1)=1,'Annahmen'!$C$158,M309))-M224,0))</f>
      </c>
      <c r="N310" s="51">
        <f>IF((23-(('Annahmen'!$I$159-2026)*12+'Annahmen'!$H$159-1)+1)&lt;1,0,MAX((IF((23-(('Annahmen'!$I$159-2026)*12+'Annahmen'!$H$159-1)+1)=1,'Annahmen'!$C$159,N309))-N224,0))</f>
      </c>
      <c r="O310" s="114">
        <f>SUM(C310:N310)</f>
      </c>
    </row>
    <row r="311" ht="15" customHeight="1" hidden="1" spans="2:15" x14ac:dyDescent="0.25" outlineLevel="1" collapsed="1">
      <c r="B311" s="115" t="s">
        <v>245</v>
      </c>
      <c r="C311" s="23">
        <f>C310</f>
      </c>
      <c r="D311" s="23">
        <f>D310</f>
      </c>
      <c r="E311" s="23">
        <f>E310</f>
      </c>
      <c r="F311" s="23">
        <f>F310</f>
      </c>
      <c r="G311" s="23">
        <f>G310</f>
      </c>
      <c r="H311" s="23">
        <f>H310</f>
      </c>
      <c r="I311" s="23">
        <f>I310</f>
      </c>
      <c r="J311" s="23">
        <f>J310</f>
      </c>
      <c r="K311" s="23">
        <f>K310</f>
      </c>
      <c r="L311" s="23">
        <f>L310</f>
      </c>
      <c r="M311" s="23">
        <f>M310</f>
      </c>
      <c r="N311" s="23">
        <f>N310</f>
      </c>
      <c r="O311" s="116">
        <f>O310</f>
      </c>
    </row>
    <row r="312" ht="15" customHeight="1" hidden="1" spans="2:15" x14ac:dyDescent="0.25" outlineLevel="1" collapsed="1">
      <c r="B312" s="113" t="s">
        <v>246</v>
      </c>
      <c r="C312" s="51">
        <f>IF(25&lt;1,0,MAX((IF(25=1,'Annahmen'!$C$144,C310))-C183,0))</f>
      </c>
      <c r="D312" s="51">
        <f>IF(25&lt;1,0,MAX((IF(25=1,'Annahmen'!$C$145,D310))-D183,0))</f>
      </c>
      <c r="E312" s="51">
        <f>IF(25&lt;1,0,MAX((IF(25=1,'Annahmen'!$C$146,E310))-E183,0))</f>
      </c>
      <c r="F312" s="51">
        <f>IF(25&lt;1,0,MAX((IF(25=1,'Annahmen'!$C$147,F310))-F183,0))</f>
      </c>
      <c r="G312" s="51">
        <f>IF(25&lt;1,0,MAX((IF(25=1,'Annahmen'!$C$148,G310))-G183,0))</f>
      </c>
      <c r="H312" s="51">
        <f>IF(25&lt;1,0,MAX((IF(25=1,'Annahmen'!$C$149,H310))-H183,0))</f>
      </c>
      <c r="I312" s="51">
        <f>IF(25&lt;1,0,MAX((IF(25=1,'Annahmen'!$C$150,I310))-I183,0))</f>
      </c>
      <c r="J312" s="51">
        <f>IF((24-(('Annahmen'!$I$155-2026)*12+'Annahmen'!$H$155-1)+1)&lt;1,0,MAX((IF((24-(('Annahmen'!$I$155-2026)*12+'Annahmen'!$H$155-1)+1)=1,'Annahmen'!$C$155,J310))-J226,0))</f>
      </c>
      <c r="K312" s="51">
        <f>IF((24-(('Annahmen'!$I$156-2026)*12+'Annahmen'!$H$156-1)+1)&lt;1,0,MAX((IF((24-(('Annahmen'!$I$156-2026)*12+'Annahmen'!$H$156-1)+1)=1,'Annahmen'!$C$156,K310))-K226,0))</f>
      </c>
      <c r="L312" s="51">
        <f>IF((24-(('Annahmen'!$I$157-2026)*12+'Annahmen'!$H$157-1)+1)&lt;1,0,MAX((IF((24-(('Annahmen'!$I$157-2026)*12+'Annahmen'!$H$157-1)+1)=1,'Annahmen'!$C$157,L310))-L226,0))</f>
      </c>
      <c r="M312" s="51">
        <f>IF((24-(('Annahmen'!$I$158-2026)*12+'Annahmen'!$H$158-1)+1)&lt;1,0,MAX((IF((24-(('Annahmen'!$I$158-2026)*12+'Annahmen'!$H$158-1)+1)=1,'Annahmen'!$C$158,M310))-M226,0))</f>
      </c>
      <c r="N312" s="51">
        <f>IF((24-(('Annahmen'!$I$159-2026)*12+'Annahmen'!$H$159-1)+1)&lt;1,0,MAX((IF((24-(('Annahmen'!$I$159-2026)*12+'Annahmen'!$H$159-1)+1)=1,'Annahmen'!$C$159,N310))-N226,0))</f>
      </c>
      <c r="O312" s="114">
        <f>SUM(C312:N312)</f>
      </c>
    </row>
    <row r="313" ht="15" customHeight="1" hidden="1" spans="2:15" x14ac:dyDescent="0.25" outlineLevel="1" collapsed="1">
      <c r="B313" s="113" t="s">
        <v>247</v>
      </c>
      <c r="C313" s="51">
        <f>IF(26&lt;1,0,MAX((IF(26=1,'Annahmen'!$C$144,C312))-C184,0))</f>
      </c>
      <c r="D313" s="51">
        <f>IF(26&lt;1,0,MAX((IF(26=1,'Annahmen'!$C$145,D312))-D184,0))</f>
      </c>
      <c r="E313" s="51">
        <f>IF(26&lt;1,0,MAX((IF(26=1,'Annahmen'!$C$146,E312))-E184,0))</f>
      </c>
      <c r="F313" s="51">
        <f>IF(26&lt;1,0,MAX((IF(26=1,'Annahmen'!$C$147,F312))-F184,0))</f>
      </c>
      <c r="G313" s="51">
        <f>IF(26&lt;1,0,MAX((IF(26=1,'Annahmen'!$C$148,G312))-G184,0))</f>
      </c>
      <c r="H313" s="51">
        <f>IF(26&lt;1,0,MAX((IF(26=1,'Annahmen'!$C$149,H312))-H184,0))</f>
      </c>
      <c r="I313" s="51">
        <f>IF(26&lt;1,0,MAX((IF(26=1,'Annahmen'!$C$150,I312))-I184,0))</f>
      </c>
      <c r="J313" s="51">
        <f>IF((25-(('Annahmen'!$I$155-2026)*12+'Annahmen'!$H$155-1)+1)&lt;1,0,MAX((IF((25-(('Annahmen'!$I$155-2026)*12+'Annahmen'!$H$155-1)+1)=1,'Annahmen'!$C$155,J312))-J227,0))</f>
      </c>
      <c r="K313" s="51">
        <f>IF((25-(('Annahmen'!$I$156-2026)*12+'Annahmen'!$H$156-1)+1)&lt;1,0,MAX((IF((25-(('Annahmen'!$I$156-2026)*12+'Annahmen'!$H$156-1)+1)=1,'Annahmen'!$C$156,K312))-K227,0))</f>
      </c>
      <c r="L313" s="51">
        <f>IF((25-(('Annahmen'!$I$157-2026)*12+'Annahmen'!$H$157-1)+1)&lt;1,0,MAX((IF((25-(('Annahmen'!$I$157-2026)*12+'Annahmen'!$H$157-1)+1)=1,'Annahmen'!$C$157,L312))-L227,0))</f>
      </c>
      <c r="M313" s="51">
        <f>IF((25-(('Annahmen'!$I$158-2026)*12+'Annahmen'!$H$158-1)+1)&lt;1,0,MAX((IF((25-(('Annahmen'!$I$158-2026)*12+'Annahmen'!$H$158-1)+1)=1,'Annahmen'!$C$158,M312))-M227,0))</f>
      </c>
      <c r="N313" s="51">
        <f>IF((25-(('Annahmen'!$I$159-2026)*12+'Annahmen'!$H$159-1)+1)&lt;1,0,MAX((IF((25-(('Annahmen'!$I$159-2026)*12+'Annahmen'!$H$159-1)+1)=1,'Annahmen'!$C$159,N312))-N227,0))</f>
      </c>
      <c r="O313" s="114">
        <f>SUM(C313:N313)</f>
      </c>
    </row>
    <row r="314" ht="15" customHeight="1" hidden="1" spans="2:15" x14ac:dyDescent="0.25" outlineLevel="1" collapsed="1">
      <c r="B314" s="113" t="s">
        <v>248</v>
      </c>
      <c r="C314" s="51">
        <f>IF(27&lt;1,0,MAX((IF(27=1,'Annahmen'!$C$144,C313))-C185,0))</f>
      </c>
      <c r="D314" s="51">
        <f>IF(27&lt;1,0,MAX((IF(27=1,'Annahmen'!$C$145,D313))-D185,0))</f>
      </c>
      <c r="E314" s="51">
        <f>IF(27&lt;1,0,MAX((IF(27=1,'Annahmen'!$C$146,E313))-E185,0))</f>
      </c>
      <c r="F314" s="51">
        <f>IF(27&lt;1,0,MAX((IF(27=1,'Annahmen'!$C$147,F313))-F185,0))</f>
      </c>
      <c r="G314" s="51">
        <f>IF(27&lt;1,0,MAX((IF(27=1,'Annahmen'!$C$148,G313))-G185,0))</f>
      </c>
      <c r="H314" s="51">
        <f>IF(27&lt;1,0,MAX((IF(27=1,'Annahmen'!$C$149,H313))-H185,0))</f>
      </c>
      <c r="I314" s="51">
        <f>IF(27&lt;1,0,MAX((IF(27=1,'Annahmen'!$C$150,I313))-I185,0))</f>
      </c>
      <c r="J314" s="51">
        <f>IF((26-(('Annahmen'!$I$155-2026)*12+'Annahmen'!$H$155-1)+1)&lt;1,0,MAX((IF((26-(('Annahmen'!$I$155-2026)*12+'Annahmen'!$H$155-1)+1)=1,'Annahmen'!$C$155,J313))-J228,0))</f>
      </c>
      <c r="K314" s="51">
        <f>IF((26-(('Annahmen'!$I$156-2026)*12+'Annahmen'!$H$156-1)+1)&lt;1,0,MAX((IF((26-(('Annahmen'!$I$156-2026)*12+'Annahmen'!$H$156-1)+1)=1,'Annahmen'!$C$156,K313))-K228,0))</f>
      </c>
      <c r="L314" s="51">
        <f>IF((26-(('Annahmen'!$I$157-2026)*12+'Annahmen'!$H$157-1)+1)&lt;1,0,MAX((IF((26-(('Annahmen'!$I$157-2026)*12+'Annahmen'!$H$157-1)+1)=1,'Annahmen'!$C$157,L313))-L228,0))</f>
      </c>
      <c r="M314" s="51">
        <f>IF((26-(('Annahmen'!$I$158-2026)*12+'Annahmen'!$H$158-1)+1)&lt;1,0,MAX((IF((26-(('Annahmen'!$I$158-2026)*12+'Annahmen'!$H$158-1)+1)=1,'Annahmen'!$C$158,M313))-M228,0))</f>
      </c>
      <c r="N314" s="51">
        <f>IF((26-(('Annahmen'!$I$159-2026)*12+'Annahmen'!$H$159-1)+1)&lt;1,0,MAX((IF((26-(('Annahmen'!$I$159-2026)*12+'Annahmen'!$H$159-1)+1)=1,'Annahmen'!$C$159,N313))-N228,0))</f>
      </c>
      <c r="O314" s="114">
        <f>SUM(C314:N314)</f>
      </c>
    </row>
    <row r="315" ht="15" customHeight="1" hidden="1" spans="2:15" x14ac:dyDescent="0.25" outlineLevel="1" collapsed="1">
      <c r="B315" s="113" t="s">
        <v>249</v>
      </c>
      <c r="C315" s="51">
        <f>IF(28&lt;1,0,MAX((IF(28=1,'Annahmen'!$C$144,C314))-C186,0))</f>
      </c>
      <c r="D315" s="51">
        <f>IF(28&lt;1,0,MAX((IF(28=1,'Annahmen'!$C$145,D314))-D186,0))</f>
      </c>
      <c r="E315" s="51">
        <f>IF(28&lt;1,0,MAX((IF(28=1,'Annahmen'!$C$146,E314))-E186,0))</f>
      </c>
      <c r="F315" s="51">
        <f>IF(28&lt;1,0,MAX((IF(28=1,'Annahmen'!$C$147,F314))-F186,0))</f>
      </c>
      <c r="G315" s="51">
        <f>IF(28&lt;1,0,MAX((IF(28=1,'Annahmen'!$C$148,G314))-G186,0))</f>
      </c>
      <c r="H315" s="51">
        <f>IF(28&lt;1,0,MAX((IF(28=1,'Annahmen'!$C$149,H314))-H186,0))</f>
      </c>
      <c r="I315" s="51">
        <f>IF(28&lt;1,0,MAX((IF(28=1,'Annahmen'!$C$150,I314))-I186,0))</f>
      </c>
      <c r="J315" s="51">
        <f>IF((27-(('Annahmen'!$I$155-2026)*12+'Annahmen'!$H$155-1)+1)&lt;1,0,MAX((IF((27-(('Annahmen'!$I$155-2026)*12+'Annahmen'!$H$155-1)+1)=1,'Annahmen'!$C$155,J314))-J229,0))</f>
      </c>
      <c r="K315" s="51">
        <f>IF((27-(('Annahmen'!$I$156-2026)*12+'Annahmen'!$H$156-1)+1)&lt;1,0,MAX((IF((27-(('Annahmen'!$I$156-2026)*12+'Annahmen'!$H$156-1)+1)=1,'Annahmen'!$C$156,K314))-K229,0))</f>
      </c>
      <c r="L315" s="51">
        <f>IF((27-(('Annahmen'!$I$157-2026)*12+'Annahmen'!$H$157-1)+1)&lt;1,0,MAX((IF((27-(('Annahmen'!$I$157-2026)*12+'Annahmen'!$H$157-1)+1)=1,'Annahmen'!$C$157,L314))-L229,0))</f>
      </c>
      <c r="M315" s="51">
        <f>IF((27-(('Annahmen'!$I$158-2026)*12+'Annahmen'!$H$158-1)+1)&lt;1,0,MAX((IF((27-(('Annahmen'!$I$158-2026)*12+'Annahmen'!$H$158-1)+1)=1,'Annahmen'!$C$158,M314))-M229,0))</f>
      </c>
      <c r="N315" s="51">
        <f>IF((27-(('Annahmen'!$I$159-2026)*12+'Annahmen'!$H$159-1)+1)&lt;1,0,MAX((IF((27-(('Annahmen'!$I$159-2026)*12+'Annahmen'!$H$159-1)+1)=1,'Annahmen'!$C$159,N314))-N229,0))</f>
      </c>
      <c r="O315" s="114">
        <f>SUM(C315:N315)</f>
      </c>
    </row>
    <row r="316" ht="15" customHeight="1" hidden="1" spans="2:15" x14ac:dyDescent="0.25" outlineLevel="1" collapsed="1">
      <c r="B316" s="113" t="s">
        <v>250</v>
      </c>
      <c r="C316" s="51">
        <f>IF(29&lt;1,0,MAX((IF(29=1,'Annahmen'!$C$144,C315))-C187,0))</f>
      </c>
      <c r="D316" s="51">
        <f>IF(29&lt;1,0,MAX((IF(29=1,'Annahmen'!$C$145,D315))-D187,0))</f>
      </c>
      <c r="E316" s="51">
        <f>IF(29&lt;1,0,MAX((IF(29=1,'Annahmen'!$C$146,E315))-E187,0))</f>
      </c>
      <c r="F316" s="51">
        <f>IF(29&lt;1,0,MAX((IF(29=1,'Annahmen'!$C$147,F315))-F187,0))</f>
      </c>
      <c r="G316" s="51">
        <f>IF(29&lt;1,0,MAX((IF(29=1,'Annahmen'!$C$148,G315))-G187,0))</f>
      </c>
      <c r="H316" s="51">
        <f>IF(29&lt;1,0,MAX((IF(29=1,'Annahmen'!$C$149,H315))-H187,0))</f>
      </c>
      <c r="I316" s="51">
        <f>IF(29&lt;1,0,MAX((IF(29=1,'Annahmen'!$C$150,I315))-I187,0))</f>
      </c>
      <c r="J316" s="51">
        <f>IF((28-(('Annahmen'!$I$155-2026)*12+'Annahmen'!$H$155-1)+1)&lt;1,0,MAX((IF((28-(('Annahmen'!$I$155-2026)*12+'Annahmen'!$H$155-1)+1)=1,'Annahmen'!$C$155,J315))-J230,0))</f>
      </c>
      <c r="K316" s="51">
        <f>IF((28-(('Annahmen'!$I$156-2026)*12+'Annahmen'!$H$156-1)+1)&lt;1,0,MAX((IF((28-(('Annahmen'!$I$156-2026)*12+'Annahmen'!$H$156-1)+1)=1,'Annahmen'!$C$156,K315))-K230,0))</f>
      </c>
      <c r="L316" s="51">
        <f>IF((28-(('Annahmen'!$I$157-2026)*12+'Annahmen'!$H$157-1)+1)&lt;1,0,MAX((IF((28-(('Annahmen'!$I$157-2026)*12+'Annahmen'!$H$157-1)+1)=1,'Annahmen'!$C$157,L315))-L230,0))</f>
      </c>
      <c r="M316" s="51">
        <f>IF((28-(('Annahmen'!$I$158-2026)*12+'Annahmen'!$H$158-1)+1)&lt;1,0,MAX((IF((28-(('Annahmen'!$I$158-2026)*12+'Annahmen'!$H$158-1)+1)=1,'Annahmen'!$C$158,M315))-M230,0))</f>
      </c>
      <c r="N316" s="51">
        <f>IF((28-(('Annahmen'!$I$159-2026)*12+'Annahmen'!$H$159-1)+1)&lt;1,0,MAX((IF((28-(('Annahmen'!$I$159-2026)*12+'Annahmen'!$H$159-1)+1)=1,'Annahmen'!$C$159,N315))-N230,0))</f>
      </c>
      <c r="O316" s="114">
        <f>SUM(C316:N316)</f>
      </c>
    </row>
    <row r="317" ht="15" customHeight="1" hidden="1" spans="2:15" x14ac:dyDescent="0.25" outlineLevel="1" collapsed="1">
      <c r="B317" s="113" t="s">
        <v>251</v>
      </c>
      <c r="C317" s="51">
        <f>IF(30&lt;1,0,MAX((IF(30=1,'Annahmen'!$C$144,C316))-C188,0))</f>
      </c>
      <c r="D317" s="51">
        <f>IF(30&lt;1,0,MAX((IF(30=1,'Annahmen'!$C$145,D316))-D188,0))</f>
      </c>
      <c r="E317" s="51">
        <f>IF(30&lt;1,0,MAX((IF(30=1,'Annahmen'!$C$146,E316))-E188,0))</f>
      </c>
      <c r="F317" s="51">
        <f>IF(30&lt;1,0,MAX((IF(30=1,'Annahmen'!$C$147,F316))-F188,0))</f>
      </c>
      <c r="G317" s="51">
        <f>IF(30&lt;1,0,MAX((IF(30=1,'Annahmen'!$C$148,G316))-G188,0))</f>
      </c>
      <c r="H317" s="51">
        <f>IF(30&lt;1,0,MAX((IF(30=1,'Annahmen'!$C$149,H316))-H188,0))</f>
      </c>
      <c r="I317" s="51">
        <f>IF(30&lt;1,0,MAX((IF(30=1,'Annahmen'!$C$150,I316))-I188,0))</f>
      </c>
      <c r="J317" s="51">
        <f>IF((29-(('Annahmen'!$I$155-2026)*12+'Annahmen'!$H$155-1)+1)&lt;1,0,MAX((IF((29-(('Annahmen'!$I$155-2026)*12+'Annahmen'!$H$155-1)+1)=1,'Annahmen'!$C$155,J316))-J231,0))</f>
      </c>
      <c r="K317" s="51">
        <f>IF((29-(('Annahmen'!$I$156-2026)*12+'Annahmen'!$H$156-1)+1)&lt;1,0,MAX((IF((29-(('Annahmen'!$I$156-2026)*12+'Annahmen'!$H$156-1)+1)=1,'Annahmen'!$C$156,K316))-K231,0))</f>
      </c>
      <c r="L317" s="51">
        <f>IF((29-(('Annahmen'!$I$157-2026)*12+'Annahmen'!$H$157-1)+1)&lt;1,0,MAX((IF((29-(('Annahmen'!$I$157-2026)*12+'Annahmen'!$H$157-1)+1)=1,'Annahmen'!$C$157,L316))-L231,0))</f>
      </c>
      <c r="M317" s="51">
        <f>IF((29-(('Annahmen'!$I$158-2026)*12+'Annahmen'!$H$158-1)+1)&lt;1,0,MAX((IF((29-(('Annahmen'!$I$158-2026)*12+'Annahmen'!$H$158-1)+1)=1,'Annahmen'!$C$158,M316))-M231,0))</f>
      </c>
      <c r="N317" s="51">
        <f>IF((29-(('Annahmen'!$I$159-2026)*12+'Annahmen'!$H$159-1)+1)&lt;1,0,MAX((IF((29-(('Annahmen'!$I$159-2026)*12+'Annahmen'!$H$159-1)+1)=1,'Annahmen'!$C$159,N316))-N231,0))</f>
      </c>
      <c r="O317" s="114">
        <f>SUM(C317:N317)</f>
      </c>
    </row>
    <row r="318" ht="15" customHeight="1" hidden="1" spans="2:15" x14ac:dyDescent="0.25" outlineLevel="1" collapsed="1">
      <c r="B318" s="113" t="s">
        <v>252</v>
      </c>
      <c r="C318" s="51">
        <f>IF(31&lt;1,0,MAX((IF(31=1,'Annahmen'!$C$144,C317))-C189,0))</f>
      </c>
      <c r="D318" s="51">
        <f>IF(31&lt;1,0,MAX((IF(31=1,'Annahmen'!$C$145,D317))-D189,0))</f>
      </c>
      <c r="E318" s="51">
        <f>IF(31&lt;1,0,MAX((IF(31=1,'Annahmen'!$C$146,E317))-E189,0))</f>
      </c>
      <c r="F318" s="51">
        <f>IF(31&lt;1,0,MAX((IF(31=1,'Annahmen'!$C$147,F317))-F189,0))</f>
      </c>
      <c r="G318" s="51">
        <f>IF(31&lt;1,0,MAX((IF(31=1,'Annahmen'!$C$148,G317))-G189,0))</f>
      </c>
      <c r="H318" s="51">
        <f>IF(31&lt;1,0,MAX((IF(31=1,'Annahmen'!$C$149,H317))-H189,0))</f>
      </c>
      <c r="I318" s="51">
        <f>IF(31&lt;1,0,MAX((IF(31=1,'Annahmen'!$C$150,I317))-I189,0))</f>
      </c>
      <c r="J318" s="51">
        <f>IF((30-(('Annahmen'!$I$155-2026)*12+'Annahmen'!$H$155-1)+1)&lt;1,0,MAX((IF((30-(('Annahmen'!$I$155-2026)*12+'Annahmen'!$H$155-1)+1)=1,'Annahmen'!$C$155,J317))-J232,0))</f>
      </c>
      <c r="K318" s="51">
        <f>IF((30-(('Annahmen'!$I$156-2026)*12+'Annahmen'!$H$156-1)+1)&lt;1,0,MAX((IF((30-(('Annahmen'!$I$156-2026)*12+'Annahmen'!$H$156-1)+1)=1,'Annahmen'!$C$156,K317))-K232,0))</f>
      </c>
      <c r="L318" s="51">
        <f>IF((30-(('Annahmen'!$I$157-2026)*12+'Annahmen'!$H$157-1)+1)&lt;1,0,MAX((IF((30-(('Annahmen'!$I$157-2026)*12+'Annahmen'!$H$157-1)+1)=1,'Annahmen'!$C$157,L317))-L232,0))</f>
      </c>
      <c r="M318" s="51">
        <f>IF((30-(('Annahmen'!$I$158-2026)*12+'Annahmen'!$H$158-1)+1)&lt;1,0,MAX((IF((30-(('Annahmen'!$I$158-2026)*12+'Annahmen'!$H$158-1)+1)=1,'Annahmen'!$C$158,M317))-M232,0))</f>
      </c>
      <c r="N318" s="51">
        <f>IF((30-(('Annahmen'!$I$159-2026)*12+'Annahmen'!$H$159-1)+1)&lt;1,0,MAX((IF((30-(('Annahmen'!$I$159-2026)*12+'Annahmen'!$H$159-1)+1)=1,'Annahmen'!$C$159,N317))-N232,0))</f>
      </c>
      <c r="O318" s="114">
        <f>SUM(C318:N318)</f>
      </c>
    </row>
    <row r="319" ht="15" customHeight="1" hidden="1" spans="2:15" x14ac:dyDescent="0.25" outlineLevel="1" collapsed="1">
      <c r="B319" s="113" t="s">
        <v>253</v>
      </c>
      <c r="C319" s="51">
        <f>IF(32&lt;1,0,MAX((IF(32=1,'Annahmen'!$C$144,C318))-C190,0))</f>
      </c>
      <c r="D319" s="51">
        <f>IF(32&lt;1,0,MAX((IF(32=1,'Annahmen'!$C$145,D318))-D190,0))</f>
      </c>
      <c r="E319" s="51">
        <f>IF(32&lt;1,0,MAX((IF(32=1,'Annahmen'!$C$146,E318))-E190,0))</f>
      </c>
      <c r="F319" s="51">
        <f>IF(32&lt;1,0,MAX((IF(32=1,'Annahmen'!$C$147,F318))-F190,0))</f>
      </c>
      <c r="G319" s="51">
        <f>IF(32&lt;1,0,MAX((IF(32=1,'Annahmen'!$C$148,G318))-G190,0))</f>
      </c>
      <c r="H319" s="51">
        <f>IF(32&lt;1,0,MAX((IF(32=1,'Annahmen'!$C$149,H318))-H190,0))</f>
      </c>
      <c r="I319" s="51">
        <f>IF(32&lt;1,0,MAX((IF(32=1,'Annahmen'!$C$150,I318))-I190,0))</f>
      </c>
      <c r="J319" s="51">
        <f>IF((31-(('Annahmen'!$I$155-2026)*12+'Annahmen'!$H$155-1)+1)&lt;1,0,MAX((IF((31-(('Annahmen'!$I$155-2026)*12+'Annahmen'!$H$155-1)+1)=1,'Annahmen'!$C$155,J318))-J233,0))</f>
      </c>
      <c r="K319" s="51">
        <f>IF((31-(('Annahmen'!$I$156-2026)*12+'Annahmen'!$H$156-1)+1)&lt;1,0,MAX((IF((31-(('Annahmen'!$I$156-2026)*12+'Annahmen'!$H$156-1)+1)=1,'Annahmen'!$C$156,K318))-K233,0))</f>
      </c>
      <c r="L319" s="51">
        <f>IF((31-(('Annahmen'!$I$157-2026)*12+'Annahmen'!$H$157-1)+1)&lt;1,0,MAX((IF((31-(('Annahmen'!$I$157-2026)*12+'Annahmen'!$H$157-1)+1)=1,'Annahmen'!$C$157,L318))-L233,0))</f>
      </c>
      <c r="M319" s="51">
        <f>IF((31-(('Annahmen'!$I$158-2026)*12+'Annahmen'!$H$158-1)+1)&lt;1,0,MAX((IF((31-(('Annahmen'!$I$158-2026)*12+'Annahmen'!$H$158-1)+1)=1,'Annahmen'!$C$158,M318))-M233,0))</f>
      </c>
      <c r="N319" s="51">
        <f>IF((31-(('Annahmen'!$I$159-2026)*12+'Annahmen'!$H$159-1)+1)&lt;1,0,MAX((IF((31-(('Annahmen'!$I$159-2026)*12+'Annahmen'!$H$159-1)+1)=1,'Annahmen'!$C$159,N318))-N233,0))</f>
      </c>
      <c r="O319" s="114">
        <f>SUM(C319:N319)</f>
      </c>
    </row>
    <row r="320" ht="15" customHeight="1" hidden="1" spans="2:15" x14ac:dyDescent="0.25" outlineLevel="1" collapsed="1">
      <c r="B320" s="113" t="s">
        <v>254</v>
      </c>
      <c r="C320" s="51">
        <f>IF(33&lt;1,0,MAX((IF(33=1,'Annahmen'!$C$144,C319))-C191,0))</f>
      </c>
      <c r="D320" s="51">
        <f>IF(33&lt;1,0,MAX((IF(33=1,'Annahmen'!$C$145,D319))-D191,0))</f>
      </c>
      <c r="E320" s="51">
        <f>IF(33&lt;1,0,MAX((IF(33=1,'Annahmen'!$C$146,E319))-E191,0))</f>
      </c>
      <c r="F320" s="51">
        <f>IF(33&lt;1,0,MAX((IF(33=1,'Annahmen'!$C$147,F319))-F191,0))</f>
      </c>
      <c r="G320" s="51">
        <f>IF(33&lt;1,0,MAX((IF(33=1,'Annahmen'!$C$148,G319))-G191,0))</f>
      </c>
      <c r="H320" s="51">
        <f>IF(33&lt;1,0,MAX((IF(33=1,'Annahmen'!$C$149,H319))-H191,0))</f>
      </c>
      <c r="I320" s="51">
        <f>IF(33&lt;1,0,MAX((IF(33=1,'Annahmen'!$C$150,I319))-I191,0))</f>
      </c>
      <c r="J320" s="51">
        <f>IF((32-(('Annahmen'!$I$155-2026)*12+'Annahmen'!$H$155-1)+1)&lt;1,0,MAX((IF((32-(('Annahmen'!$I$155-2026)*12+'Annahmen'!$H$155-1)+1)=1,'Annahmen'!$C$155,J319))-J234,0))</f>
      </c>
      <c r="K320" s="51">
        <f>IF((32-(('Annahmen'!$I$156-2026)*12+'Annahmen'!$H$156-1)+1)&lt;1,0,MAX((IF((32-(('Annahmen'!$I$156-2026)*12+'Annahmen'!$H$156-1)+1)=1,'Annahmen'!$C$156,K319))-K234,0))</f>
      </c>
      <c r="L320" s="51">
        <f>IF((32-(('Annahmen'!$I$157-2026)*12+'Annahmen'!$H$157-1)+1)&lt;1,0,MAX((IF((32-(('Annahmen'!$I$157-2026)*12+'Annahmen'!$H$157-1)+1)=1,'Annahmen'!$C$157,L319))-L234,0))</f>
      </c>
      <c r="M320" s="51">
        <f>IF((32-(('Annahmen'!$I$158-2026)*12+'Annahmen'!$H$158-1)+1)&lt;1,0,MAX((IF((32-(('Annahmen'!$I$158-2026)*12+'Annahmen'!$H$158-1)+1)=1,'Annahmen'!$C$158,M319))-M234,0))</f>
      </c>
      <c r="N320" s="51">
        <f>IF((32-(('Annahmen'!$I$159-2026)*12+'Annahmen'!$H$159-1)+1)&lt;1,0,MAX((IF((32-(('Annahmen'!$I$159-2026)*12+'Annahmen'!$H$159-1)+1)=1,'Annahmen'!$C$159,N319))-N234,0))</f>
      </c>
      <c r="O320" s="114">
        <f>SUM(C320:N320)</f>
      </c>
    </row>
    <row r="321" ht="15" customHeight="1" hidden="1" spans="2:15" x14ac:dyDescent="0.25" outlineLevel="1" collapsed="1">
      <c r="B321" s="113" t="s">
        <v>255</v>
      </c>
      <c r="C321" s="51">
        <f>IF(34&lt;1,0,MAX((IF(34=1,'Annahmen'!$C$144,C320))-C192,0))</f>
      </c>
      <c r="D321" s="51">
        <f>IF(34&lt;1,0,MAX((IF(34=1,'Annahmen'!$C$145,D320))-D192,0))</f>
      </c>
      <c r="E321" s="51">
        <f>IF(34&lt;1,0,MAX((IF(34=1,'Annahmen'!$C$146,E320))-E192,0))</f>
      </c>
      <c r="F321" s="51">
        <f>IF(34&lt;1,0,MAX((IF(34=1,'Annahmen'!$C$147,F320))-F192,0))</f>
      </c>
      <c r="G321" s="51">
        <f>IF(34&lt;1,0,MAX((IF(34=1,'Annahmen'!$C$148,G320))-G192,0))</f>
      </c>
      <c r="H321" s="51">
        <f>IF(34&lt;1,0,MAX((IF(34=1,'Annahmen'!$C$149,H320))-H192,0))</f>
      </c>
      <c r="I321" s="51">
        <f>IF(34&lt;1,0,MAX((IF(34=1,'Annahmen'!$C$150,I320))-I192,0))</f>
      </c>
      <c r="J321" s="51">
        <f>IF((33-(('Annahmen'!$I$155-2026)*12+'Annahmen'!$H$155-1)+1)&lt;1,0,MAX((IF((33-(('Annahmen'!$I$155-2026)*12+'Annahmen'!$H$155-1)+1)=1,'Annahmen'!$C$155,J320))-J235,0))</f>
      </c>
      <c r="K321" s="51">
        <f>IF((33-(('Annahmen'!$I$156-2026)*12+'Annahmen'!$H$156-1)+1)&lt;1,0,MAX((IF((33-(('Annahmen'!$I$156-2026)*12+'Annahmen'!$H$156-1)+1)=1,'Annahmen'!$C$156,K320))-K235,0))</f>
      </c>
      <c r="L321" s="51">
        <f>IF((33-(('Annahmen'!$I$157-2026)*12+'Annahmen'!$H$157-1)+1)&lt;1,0,MAX((IF((33-(('Annahmen'!$I$157-2026)*12+'Annahmen'!$H$157-1)+1)=1,'Annahmen'!$C$157,L320))-L235,0))</f>
      </c>
      <c r="M321" s="51">
        <f>IF((33-(('Annahmen'!$I$158-2026)*12+'Annahmen'!$H$158-1)+1)&lt;1,0,MAX((IF((33-(('Annahmen'!$I$158-2026)*12+'Annahmen'!$H$158-1)+1)=1,'Annahmen'!$C$158,M320))-M235,0))</f>
      </c>
      <c r="N321" s="51">
        <f>IF((33-(('Annahmen'!$I$159-2026)*12+'Annahmen'!$H$159-1)+1)&lt;1,0,MAX((IF((33-(('Annahmen'!$I$159-2026)*12+'Annahmen'!$H$159-1)+1)=1,'Annahmen'!$C$159,N320))-N235,0))</f>
      </c>
      <c r="O321" s="114">
        <f>SUM(C321:N321)</f>
      </c>
    </row>
    <row r="322" ht="15" customHeight="1" hidden="1" spans="2:15" x14ac:dyDescent="0.25" outlineLevel="1" collapsed="1">
      <c r="B322" s="113" t="s">
        <v>256</v>
      </c>
      <c r="C322" s="51">
        <f>IF(35&lt;1,0,MAX((IF(35=1,'Annahmen'!$C$144,C321))-C193,0))</f>
      </c>
      <c r="D322" s="51">
        <f>IF(35&lt;1,0,MAX((IF(35=1,'Annahmen'!$C$145,D321))-D193,0))</f>
      </c>
      <c r="E322" s="51">
        <f>IF(35&lt;1,0,MAX((IF(35=1,'Annahmen'!$C$146,E321))-E193,0))</f>
      </c>
      <c r="F322" s="51">
        <f>IF(35&lt;1,0,MAX((IF(35=1,'Annahmen'!$C$147,F321))-F193,0))</f>
      </c>
      <c r="G322" s="51">
        <f>IF(35&lt;1,0,MAX((IF(35=1,'Annahmen'!$C$148,G321))-G193,0))</f>
      </c>
      <c r="H322" s="51">
        <f>IF(35&lt;1,0,MAX((IF(35=1,'Annahmen'!$C$149,H321))-H193,0))</f>
      </c>
      <c r="I322" s="51">
        <f>IF(35&lt;1,0,MAX((IF(35=1,'Annahmen'!$C$150,I321))-I193,0))</f>
      </c>
      <c r="J322" s="51">
        <f>IF((34-(('Annahmen'!$I$155-2026)*12+'Annahmen'!$H$155-1)+1)&lt;1,0,MAX((IF((34-(('Annahmen'!$I$155-2026)*12+'Annahmen'!$H$155-1)+1)=1,'Annahmen'!$C$155,J321))-J236,0))</f>
      </c>
      <c r="K322" s="51">
        <f>IF((34-(('Annahmen'!$I$156-2026)*12+'Annahmen'!$H$156-1)+1)&lt;1,0,MAX((IF((34-(('Annahmen'!$I$156-2026)*12+'Annahmen'!$H$156-1)+1)=1,'Annahmen'!$C$156,K321))-K236,0))</f>
      </c>
      <c r="L322" s="51">
        <f>IF((34-(('Annahmen'!$I$157-2026)*12+'Annahmen'!$H$157-1)+1)&lt;1,0,MAX((IF((34-(('Annahmen'!$I$157-2026)*12+'Annahmen'!$H$157-1)+1)=1,'Annahmen'!$C$157,L321))-L236,0))</f>
      </c>
      <c r="M322" s="51">
        <f>IF((34-(('Annahmen'!$I$158-2026)*12+'Annahmen'!$H$158-1)+1)&lt;1,0,MAX((IF((34-(('Annahmen'!$I$158-2026)*12+'Annahmen'!$H$158-1)+1)=1,'Annahmen'!$C$158,M321))-M236,0))</f>
      </c>
      <c r="N322" s="51">
        <f>IF((34-(('Annahmen'!$I$159-2026)*12+'Annahmen'!$H$159-1)+1)&lt;1,0,MAX((IF((34-(('Annahmen'!$I$159-2026)*12+'Annahmen'!$H$159-1)+1)=1,'Annahmen'!$C$159,N321))-N236,0))</f>
      </c>
      <c r="O322" s="114">
        <f>SUM(C322:N322)</f>
      </c>
    </row>
    <row r="323" ht="15" customHeight="1" hidden="1" spans="2:15" x14ac:dyDescent="0.25" outlineLevel="1" collapsed="1">
      <c r="B323" s="113" t="s">
        <v>257</v>
      </c>
      <c r="C323" s="51">
        <f>IF(36&lt;1,0,MAX((IF(36=1,'Annahmen'!$C$144,C322))-C194,0))</f>
      </c>
      <c r="D323" s="51">
        <f>IF(36&lt;1,0,MAX((IF(36=1,'Annahmen'!$C$145,D322))-D194,0))</f>
      </c>
      <c r="E323" s="51">
        <f>IF(36&lt;1,0,MAX((IF(36=1,'Annahmen'!$C$146,E322))-E194,0))</f>
      </c>
      <c r="F323" s="51">
        <f>IF(36&lt;1,0,MAX((IF(36=1,'Annahmen'!$C$147,F322))-F194,0))</f>
      </c>
      <c r="G323" s="51">
        <f>IF(36&lt;1,0,MAX((IF(36=1,'Annahmen'!$C$148,G322))-G194,0))</f>
      </c>
      <c r="H323" s="51">
        <f>IF(36&lt;1,0,MAX((IF(36=1,'Annahmen'!$C$149,H322))-H194,0))</f>
      </c>
      <c r="I323" s="51">
        <f>IF(36&lt;1,0,MAX((IF(36=1,'Annahmen'!$C$150,I322))-I194,0))</f>
      </c>
      <c r="J323" s="51">
        <f>IF((35-(('Annahmen'!$I$155-2026)*12+'Annahmen'!$H$155-1)+1)&lt;1,0,MAX((IF((35-(('Annahmen'!$I$155-2026)*12+'Annahmen'!$H$155-1)+1)=1,'Annahmen'!$C$155,J322))-J237,0))</f>
      </c>
      <c r="K323" s="51">
        <f>IF((35-(('Annahmen'!$I$156-2026)*12+'Annahmen'!$H$156-1)+1)&lt;1,0,MAX((IF((35-(('Annahmen'!$I$156-2026)*12+'Annahmen'!$H$156-1)+1)=1,'Annahmen'!$C$156,K322))-K237,0))</f>
      </c>
      <c r="L323" s="51">
        <f>IF((35-(('Annahmen'!$I$157-2026)*12+'Annahmen'!$H$157-1)+1)&lt;1,0,MAX((IF((35-(('Annahmen'!$I$157-2026)*12+'Annahmen'!$H$157-1)+1)=1,'Annahmen'!$C$157,L322))-L237,0))</f>
      </c>
      <c r="M323" s="51">
        <f>IF((35-(('Annahmen'!$I$158-2026)*12+'Annahmen'!$H$158-1)+1)&lt;1,0,MAX((IF((35-(('Annahmen'!$I$158-2026)*12+'Annahmen'!$H$158-1)+1)=1,'Annahmen'!$C$158,M322))-M237,0))</f>
      </c>
      <c r="N323" s="51">
        <f>IF((35-(('Annahmen'!$I$159-2026)*12+'Annahmen'!$H$159-1)+1)&lt;1,0,MAX((IF((35-(('Annahmen'!$I$159-2026)*12+'Annahmen'!$H$159-1)+1)=1,'Annahmen'!$C$159,N322))-N237,0))</f>
      </c>
      <c r="O323" s="114">
        <f>SUM(C323:N323)</f>
      </c>
    </row>
    <row r="324" ht="15" customHeight="1" hidden="1" spans="2:15" x14ac:dyDescent="0.25" outlineLevel="1" collapsed="1">
      <c r="B324" s="115" t="s">
        <v>258</v>
      </c>
      <c r="C324" s="23">
        <f>C323</f>
      </c>
      <c r="D324" s="23">
        <f>D323</f>
      </c>
      <c r="E324" s="23">
        <f>E323</f>
      </c>
      <c r="F324" s="23">
        <f>F323</f>
      </c>
      <c r="G324" s="23">
        <f>G323</f>
      </c>
      <c r="H324" s="23">
        <f>H323</f>
      </c>
      <c r="I324" s="23">
        <f>I323</f>
      </c>
      <c r="J324" s="23">
        <f>J323</f>
      </c>
      <c r="K324" s="23">
        <f>K323</f>
      </c>
      <c r="L324" s="23">
        <f>L323</f>
      </c>
      <c r="M324" s="23">
        <f>M323</f>
      </c>
      <c r="N324" s="23">
        <f>N323</f>
      </c>
      <c r="O324" s="116">
        <f>O323</f>
      </c>
    </row>
    <row r="325" ht="18" customHeight="1" hidden="1" spans="2:15" x14ac:dyDescent="0.25" outlineLevel="1" collapsed="1">
      <c r="B325" s="117" t="s">
        <v>426</v>
      </c>
      <c r="C325" s="118">
        <f>C323</f>
      </c>
      <c r="D325" s="118">
        <f>D323</f>
      </c>
      <c r="E325" s="118">
        <f>E323</f>
      </c>
      <c r="F325" s="118">
        <f>F323</f>
      </c>
      <c r="G325" s="118">
        <f>G323</f>
      </c>
      <c r="H325" s="118">
        <f>H323</f>
      </c>
      <c r="I325" s="118">
        <f>I323</f>
      </c>
      <c r="J325" s="118">
        <f>J323</f>
      </c>
      <c r="K325" s="118">
        <f>K323</f>
      </c>
      <c r="L325" s="118">
        <f>L323</f>
      </c>
      <c r="M325" s="118">
        <f>M323</f>
      </c>
      <c r="N325" s="118">
        <f>N323</f>
      </c>
      <c r="O325" s="119">
        <f>O323</f>
      </c>
    </row>
    <row r="326" ht="15" customHeight="1" hidden="1" x14ac:dyDescent="0.25" outlineLevel="1" collapsed="1"/>
    <row r="327" ht="15" customHeight="1" hidden="1" x14ac:dyDescent="0.25" outlineLevel="1" collapsed="1"/>
    <row r="328" ht="15" customHeight="1" hidden="1" x14ac:dyDescent="0.25" outlineLevel="1" collapsed="1"/>
    <row r="329" ht="15" customHeight="1" hidden="1" spans="2:2" x14ac:dyDescent="0.25" outlineLevel="1" collapsed="1">
      <c r="B329" s="120" t="s">
        <v>429</v>
      </c>
    </row>
    <row r="330" ht="15" customHeight="1" hidden="1" spans="3:5" x14ac:dyDescent="0.25" outlineLevel="1" collapsed="1">
      <c r="C330" s="121" t="s">
        <v>232</v>
      </c>
      <c r="D330" s="121" t="s">
        <v>245</v>
      </c>
      <c r="E330" s="121" t="s">
        <v>258</v>
      </c>
    </row>
    <row r="331" ht="15" customHeight="1" hidden="1" spans="2:5" x14ac:dyDescent="0.25" outlineLevel="1" collapsed="1">
      <c r="B331" s="19" t="s">
        <v>430</v>
      </c>
      <c r="C331" s="51">
        <f>ROUND('Bilanz'!G4-'Kapitalflussrechnung'!R26,0)</f>
      </c>
      <c r="D331" s="51">
        <f>ROUND('Bilanz'!H4-'Kapitalflussrechnung'!AE26,0)</f>
      </c>
      <c r="E331" s="51">
        <f>ROUND('Bilanz'!I4-'Kapitalflussrechnung'!AR26,0)</f>
      </c>
    </row>
    <row r="332" ht="15" customHeight="1" hidden="1" spans="2:5" x14ac:dyDescent="0.25" outlineLevel="1" collapsed="1">
      <c r="B332" s="19" t="s">
        <v>431</v>
      </c>
      <c r="C332" s="51">
        <f>ROUND('Bilanz'!G14-'Bilanz'!F14-'Kapitalflussrechnung'!R15-'Kapitalflussrechnung'!R16-'Kapitalflussrechnung'!R17,0)</f>
      </c>
      <c r="D332" s="51">
        <f>ROUND('Bilanz'!H14-'Bilanz'!G14-'Kapitalflussrechnung'!AE15-'Kapitalflussrechnung'!AE16-'Kapitalflussrechnung'!AE17,0)</f>
      </c>
      <c r="E332" s="51">
        <f>ROUND('Bilanz'!I14-'Bilanz'!H14-'Kapitalflussrechnung'!AR15-'Kapitalflussrechnung'!AR16-'Kapitalflussrechnung'!AR17,0)</f>
      </c>
    </row>
    <row r="333" ht="15" customHeight="1" hidden="1" spans="2:5" x14ac:dyDescent="0.25" outlineLevel="1" collapsed="1">
      <c r="B333" s="19" t="s">
        <v>432</v>
      </c>
      <c r="C333" s="51">
        <f>ROUND('Bilanz'!G14-'Tilgungspläne'!O9-0,0)</f>
      </c>
      <c r="D333" s="51">
        <f>ROUND('Bilanz'!H14-'Tilgungspläne'!AB9-0,0)</f>
      </c>
      <c r="E333" s="51">
        <f>ROUND('Bilanz'!I14-'Tilgungspläne'!AO9-0,0)</f>
      </c>
    </row>
  </sheetData>
  <mergeCells count="1">
    <mergeCell ref="B106:AO106"/>
  </mergeCells>
  <pageMargins left="0.7" right="0.7" top="0.75" bottom="0.75" header="0.3" footer="0.3"/>
  <pageSetup orientation="landscape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7"/>
  <sheetViews>
    <sheetView workbookViewId="0" showGridLines="0" zoomScale="100"/>
  </sheetViews>
  <sheetFormatPr defaultRowHeight="15" outlineLevelRow="0" outlineLevelCol="0" x14ac:dyDescent="55"/>
  <cols>
    <col min="1" max="1" width="5" customWidth="1"/>
    <col min="2" max="2" width="42" customWidth="1"/>
    <col min="3" max="5" width="13" customWidth="1"/>
    <col min="6" max="6" width="2" customWidth="1"/>
    <col min="7" max="9" width="13" customWidth="1"/>
    <col min="10" max="10" width="2" customWidth="1"/>
    <col min="11" max="13" width="13" customWidth="1"/>
  </cols>
  <sheetData>
    <row r="2" ht="28" customHeight="1" spans="2:2" x14ac:dyDescent="0.25">
      <c r="B2" s="15" t="s">
        <v>433</v>
      </c>
    </row>
    <row r="3" ht="19" customHeight="1" spans="2:13" x14ac:dyDescent="0.25">
      <c r="B3" s="122" t="s">
        <v>434</v>
      </c>
      <c r="C3" s="99"/>
      <c r="D3" s="123" t="s">
        <v>232</v>
      </c>
      <c r="E3" s="99"/>
      <c r="G3" s="99"/>
      <c r="H3" s="123" t="s">
        <v>245</v>
      </c>
      <c r="I3" s="99"/>
      <c r="K3" s="99"/>
      <c r="L3" s="123" t="s">
        <v>258</v>
      </c>
      <c r="M3" s="99"/>
    </row>
    <row r="4" ht="19.5" customHeight="1" spans="2:13" x14ac:dyDescent="0.25">
      <c r="B4" s="124" t="s">
        <v>435</v>
      </c>
      <c r="C4" s="125" t="s">
        <v>436</v>
      </c>
      <c r="D4" s="126" t="s">
        <v>437</v>
      </c>
      <c r="E4" s="125" t="s">
        <v>438</v>
      </c>
      <c r="G4" s="125" t="s">
        <v>436</v>
      </c>
      <c r="H4" s="126" t="s">
        <v>437</v>
      </c>
      <c r="I4" s="125" t="s">
        <v>438</v>
      </c>
      <c r="K4" s="125" t="s">
        <v>436</v>
      </c>
      <c r="L4" s="126" t="s">
        <v>437</v>
      </c>
      <c r="M4" s="125" t="s">
        <v>438</v>
      </c>
    </row>
    <row r="5" spans="2:13" x14ac:dyDescent="0.25">
      <c r="B5" s="19" t="s">
        <v>439</v>
      </c>
      <c r="C5" s="127">
        <f>'GuV'!R4*(1+'Annahmen'!$C$186)</f>
      </c>
      <c r="D5" s="127">
        <f>'GuV'!R4*1</f>
      </c>
      <c r="E5" s="127">
        <f>'GuV'!R4*(1+'Annahmen'!$C$188)</f>
      </c>
      <c r="G5" s="127">
        <f>'GuV'!AE4*(1+'Annahmen'!$C$186)</f>
      </c>
      <c r="H5" s="127">
        <f>'GuV'!AE4*1</f>
      </c>
      <c r="I5" s="127">
        <f>'GuV'!AE4*(1+'Annahmen'!$C$188)</f>
      </c>
      <c r="K5" s="127">
        <f>'GuV'!AR4*(1+'Annahmen'!$C$186)</f>
      </c>
      <c r="L5" s="127">
        <f>'GuV'!AR4*1</f>
      </c>
      <c r="M5" s="127">
        <f>'GuV'!AR4*(1+'Annahmen'!$C$188)</f>
      </c>
    </row>
    <row r="6" spans="2:13" x14ac:dyDescent="0.25">
      <c r="B6" s="29" t="s">
        <v>350</v>
      </c>
      <c r="C6" s="48">
        <f>'GuV'!R18*(1+'Annahmen'!$C$186)+'GuV'!R21-('GuV'!R18-'GuV'!R52+'GuV'!R21)*(1+'Annahmen'!$C$187)</f>
      </c>
      <c r="D6" s="48">
        <f>'GuV'!R52</f>
      </c>
      <c r="E6" s="48">
        <f>'GuV'!R18*(1+'Annahmen'!$C$188)+'GuV'!R21-('GuV'!R18-'GuV'!R52+'GuV'!R21)*(1+'Annahmen'!$C$189)</f>
      </c>
      <c r="G6" s="48">
        <f>'GuV'!AE18*(1+'Annahmen'!$C$186)+'GuV'!AE21-('GuV'!AE18-'GuV'!AE52+'GuV'!AE21)*(1+'Annahmen'!$C$187)</f>
      </c>
      <c r="H6" s="48">
        <f>'GuV'!AE52</f>
      </c>
      <c r="I6" s="48">
        <f>'GuV'!AE18*(1+'Annahmen'!$C$188)+'GuV'!AE21-('GuV'!AE18-'GuV'!AE52+'GuV'!AE21)*(1+'Annahmen'!$C$189)</f>
      </c>
      <c r="K6" s="48">
        <f>'GuV'!AR18*(1+'Annahmen'!$C$186)+'GuV'!AR21-('GuV'!AR18-'GuV'!AR52+'GuV'!AR21)*(1+'Annahmen'!$C$187)</f>
      </c>
      <c r="L6" s="48">
        <f>'GuV'!AR52</f>
      </c>
      <c r="M6" s="48">
        <f>'GuV'!AR18*(1+'Annahmen'!$C$188)+'GuV'!AR21-('GuV'!AR18-'GuV'!AR52+'GuV'!AR21)*(1+'Annahmen'!$C$189)</f>
      </c>
    </row>
    <row r="7" spans="2:13" x14ac:dyDescent="0.25">
      <c r="B7" s="19" t="s">
        <v>357</v>
      </c>
      <c r="C7" s="127">
        <f>'GuV'!R59+(C6-'GuV'!R52)*0.7000</f>
      </c>
      <c r="D7" s="127">
        <f>'GuV'!R59</f>
      </c>
      <c r="E7" s="127">
        <f>'GuV'!R59+(E6-'GuV'!R52)*0.7000</f>
      </c>
      <c r="G7" s="127">
        <f>'GuV'!AE59+(G6-'GuV'!AE52)*0.7000</f>
      </c>
      <c r="H7" s="127">
        <f>'GuV'!AE59</f>
      </c>
      <c r="I7" s="127">
        <f>'GuV'!AE59+(I6-'GuV'!AE52)*0.7000</f>
      </c>
      <c r="K7" s="127">
        <f>'GuV'!AR59+(K6-'GuV'!AR52)*0.7000</f>
      </c>
      <c r="L7" s="127">
        <f>'GuV'!AR59</f>
      </c>
      <c r="M7" s="127">
        <f>'GuV'!AR59+(M6-'GuV'!AR52)*0.7000</f>
      </c>
    </row>
    <row r="8" spans="2:13" x14ac:dyDescent="0.25">
      <c r="B8" s="19" t="s">
        <v>440</v>
      </c>
      <c r="C8" s="128">
        <f>IF(C5=0,0,C6/C5)</f>
      </c>
      <c r="D8" s="128">
        <f>IF(D5=0,0,D6/D5)</f>
      </c>
      <c r="E8" s="128">
        <f>IF(E5=0,0,E6/E5)</f>
      </c>
      <c r="G8" s="128">
        <f>IF(G5=0,0,G6/G5)</f>
      </c>
      <c r="H8" s="128">
        <f>IF(H5=0,0,H6/H5)</f>
      </c>
      <c r="I8" s="128">
        <f>IF(I5=0,0,I6/I5)</f>
      </c>
      <c r="K8" s="128">
        <f>IF(K5=0,0,K6/K5)</f>
      </c>
      <c r="L8" s="128">
        <f>IF(L5=0,0,L6/L5)</f>
      </c>
      <c r="M8" s="128">
        <f>IF(M5=0,0,M6/M5)</f>
      </c>
    </row>
    <row r="10" ht="19.5" customHeight="1" spans="2:13" x14ac:dyDescent="0.25">
      <c r="B10" s="122" t="s">
        <v>441</v>
      </c>
      <c r="C10" s="99"/>
      <c r="D10" s="123" t="s">
        <v>232</v>
      </c>
      <c r="E10" s="99"/>
      <c r="G10" s="99"/>
      <c r="H10" s="123" t="s">
        <v>245</v>
      </c>
      <c r="I10" s="99"/>
      <c r="K10" s="99"/>
      <c r="L10" s="123" t="s">
        <v>258</v>
      </c>
      <c r="M10" s="99"/>
    </row>
    <row r="11" spans="2:13" x14ac:dyDescent="0.25">
      <c r="B11" s="29" t="s">
        <v>442</v>
      </c>
      <c r="C11" s="129">
        <f>IFERROR(C6/(-'GuV'!R55-'Kapitalflussrechnung'!R16-'Kapitalflussrechnung'!R17),"n/a")</f>
      </c>
      <c r="D11" s="129">
        <f>IFERROR('GuV'!R52/(-'GuV'!R55-'Kapitalflussrechnung'!R16-'Kapitalflussrechnung'!R17),"n/a")</f>
      </c>
      <c r="E11" s="129">
        <f>IFERROR(E6/(-'GuV'!R55-'Kapitalflussrechnung'!R16-'Kapitalflussrechnung'!R17),"n/a")</f>
      </c>
      <c r="G11" s="129">
        <f>IFERROR(G6/(-'GuV'!AE55-'Kapitalflussrechnung'!AE16-'Kapitalflussrechnung'!AE17),"n/a")</f>
      </c>
      <c r="H11" s="129">
        <f>IFERROR('GuV'!AE52/(-'GuV'!AE55-'Kapitalflussrechnung'!AE16-'Kapitalflussrechnung'!AE17),"n/a")</f>
      </c>
      <c r="I11" s="129">
        <f>IFERROR(I6/(-'GuV'!AE55-'Kapitalflussrechnung'!AE16-'Kapitalflussrechnung'!AE17),"n/a")</f>
      </c>
      <c r="K11" s="129">
        <f>IFERROR(K6/(-'GuV'!AR55-'Kapitalflussrechnung'!AR16-'Kapitalflussrechnung'!AR17),"n/a")</f>
      </c>
      <c r="L11" s="129">
        <f>IFERROR('GuV'!AR52/(-'GuV'!AR55-'Kapitalflussrechnung'!AR16-'Kapitalflussrechnung'!AR17),"n/a")</f>
      </c>
      <c r="M11" s="129">
        <f>IFERROR(M6/(-'GuV'!AR55-'Kapitalflussrechnung'!AR16-'Kapitalflussrechnung'!AR17),"n/a")</f>
      </c>
    </row>
    <row r="12" spans="2:13" x14ac:dyDescent="0.25">
      <c r="B12" s="19" t="s">
        <v>443</v>
      </c>
      <c r="C12" s="128">
        <f>IF(('Bilanz'!G9+(C7-D7))&lt;=0,"n/a",('Bilanz'!G21+(C7-D7))/('Bilanz'!G9+(C7-D7)))</f>
      </c>
      <c r="D12" s="128">
        <f>IF('Bilanz'!G9=0,0,'Bilanz'!G21/'Bilanz'!G9)</f>
      </c>
      <c r="E12" s="128">
        <f>IF(('Bilanz'!G9+(E7-D7))&lt;=0,"n/a",('Bilanz'!G21+(E7-D7))/('Bilanz'!G9+(E7-D7)))</f>
      </c>
      <c r="G12" s="128">
        <f>IF(('Bilanz'!H9+(C7-D7)+(G7-H7))&lt;=0,"n/a",('Bilanz'!H21+(C7-D7)+(G7-H7))/('Bilanz'!H9+(C7-D7)+(G7-H7)))</f>
      </c>
      <c r="H12" s="128">
        <f>IF('Bilanz'!H9=0,0,'Bilanz'!H21/'Bilanz'!H9)</f>
      </c>
      <c r="I12" s="128">
        <f>IF(('Bilanz'!H9+(E7-D7)+(I7-H7))&lt;=0,"n/a",('Bilanz'!H21+(E7-D7)+(I7-H7))/('Bilanz'!H9+(E7-D7)+(I7-H7)))</f>
      </c>
      <c r="K12" s="128">
        <f>IF(('Bilanz'!I9+(C7-D7)+(G7-H7)+(K7-L7))&lt;=0,"n/a",('Bilanz'!I21+(C7-D7)+(G7-H7)+(K7-L7))/('Bilanz'!I9+(C7-D7)+(G7-H7)+(K7-L7)))</f>
      </c>
      <c r="L12" s="128">
        <f>IF('Bilanz'!I9=0,0,'Bilanz'!I21/'Bilanz'!I9)</f>
      </c>
      <c r="M12" s="128">
        <f>IF(('Bilanz'!I9+(E7-D7)+(I7-H7)+(M7-L7))&lt;=0,"n/a",('Bilanz'!I21+(E7-D7)+(I7-H7)+(M7-L7))/('Bilanz'!I9+(E7-D7)+(I7-H7)+(M7-L7)))</f>
      </c>
    </row>
    <row r="14" ht="19.5" customHeight="1" spans="2:2" x14ac:dyDescent="0.25">
      <c r="B14" s="122" t="s">
        <v>444</v>
      </c>
    </row>
    <row r="15" spans="2:11" x14ac:dyDescent="0.25">
      <c r="B15" s="130" t="s">
        <v>445</v>
      </c>
      <c r="C15" s="131" t="s">
        <v>446</v>
      </c>
      <c r="D15" s="131" t="s">
        <v>447</v>
      </c>
      <c r="E15" s="131" t="s">
        <v>448</v>
      </c>
      <c r="G15" s="131" t="s">
        <v>449</v>
      </c>
      <c r="H15" s="131" t="s">
        <v>450</v>
      </c>
      <c r="I15" s="131" t="s">
        <v>451</v>
      </c>
      <c r="K15" s="131" t="s">
        <v>452</v>
      </c>
    </row>
    <row r="16" spans="2:11" x14ac:dyDescent="0.25">
      <c r="B16" s="132" t="s">
        <v>453</v>
      </c>
      <c r="C16" s="133">
        <f>'GuV'!R18*0.8000+'GuV'!R21-('GuV'!R18-'GuV'!R52+'GuV'!R21)*0.9000</f>
      </c>
      <c r="D16" s="133">
        <f>'GuV'!R18*0.8500+'GuV'!R21-('GuV'!R18-'GuV'!R52+'GuV'!R21)*0.9000</f>
      </c>
      <c r="E16" s="133">
        <f>'GuV'!R18*0.9000+'GuV'!R21-('GuV'!R18-'GuV'!R52+'GuV'!R21)*0.9000</f>
      </c>
      <c r="G16" s="133">
        <f>'GuV'!R18*0.9500+'GuV'!R21-('GuV'!R18-'GuV'!R52+'GuV'!R21)*0.9000</f>
      </c>
      <c r="H16" s="133">
        <f>'GuV'!R18*1.0000+'GuV'!R21-('GuV'!R18-'GuV'!R52+'GuV'!R21)*0.9000</f>
      </c>
      <c r="I16" s="133">
        <f>'GuV'!R18*1.0500+'GuV'!R21-('GuV'!R18-'GuV'!R52+'GuV'!R21)*0.9000</f>
      </c>
      <c r="K16" s="133">
        <f>'GuV'!R18*1.1000+'GuV'!R21-('GuV'!R18-'GuV'!R52+'GuV'!R21)*0.9000</f>
      </c>
    </row>
    <row r="17" spans="2:11" x14ac:dyDescent="0.25">
      <c r="B17" s="132" t="s">
        <v>454</v>
      </c>
      <c r="C17" s="133">
        <f>'GuV'!R18*0.8000+'GuV'!R21-('GuV'!R18-'GuV'!R52+'GuV'!R21)*0.9500</f>
      </c>
      <c r="D17" s="133">
        <f>'GuV'!R18*0.8500+'GuV'!R21-('GuV'!R18-'GuV'!R52+'GuV'!R21)*0.9500</f>
      </c>
      <c r="E17" s="133">
        <f>'GuV'!R18*0.9000+'GuV'!R21-('GuV'!R18-'GuV'!R52+'GuV'!R21)*0.9500</f>
      </c>
      <c r="G17" s="133">
        <f>'GuV'!R18*0.9500+'GuV'!R21-('GuV'!R18-'GuV'!R52+'GuV'!R21)*0.9500</f>
      </c>
      <c r="H17" s="133">
        <f>'GuV'!R18*1.0000+'GuV'!R21-('GuV'!R18-'GuV'!R52+'GuV'!R21)*0.9500</f>
      </c>
      <c r="I17" s="133">
        <f>'GuV'!R18*1.0500+'GuV'!R21-('GuV'!R18-'GuV'!R52+'GuV'!R21)*0.9500</f>
      </c>
      <c r="K17" s="133">
        <f>'GuV'!R18*1.1000+'GuV'!R21-('GuV'!R18-'GuV'!R52+'GuV'!R21)*0.9500</f>
      </c>
    </row>
    <row r="18" spans="2:11" x14ac:dyDescent="0.25">
      <c r="B18" s="134" t="s">
        <v>455</v>
      </c>
      <c r="C18" s="133">
        <f>'GuV'!R18*0.8000+'GuV'!R21-('GuV'!R18-'GuV'!R52+'GuV'!R21)*1.0000</f>
      </c>
      <c r="D18" s="133">
        <f>'GuV'!R18*0.8500+'GuV'!R21-('GuV'!R18-'GuV'!R52+'GuV'!R21)*1.0000</f>
      </c>
      <c r="E18" s="133">
        <f>'GuV'!R18*0.9000+'GuV'!R21-('GuV'!R18-'GuV'!R52+'GuV'!R21)*1.0000</f>
      </c>
      <c r="G18" s="133">
        <f>'GuV'!R18*0.9500+'GuV'!R21-('GuV'!R18-'GuV'!R52+'GuV'!R21)*1.0000</f>
      </c>
      <c r="H18" s="135">
        <f>'GuV'!R18*1.0000+'GuV'!R21-('GuV'!R18-'GuV'!R52+'GuV'!R21)*1.0000</f>
      </c>
      <c r="I18" s="133">
        <f>'GuV'!R18*1.0500+'GuV'!R21-('GuV'!R18-'GuV'!R52+'GuV'!R21)*1.0000</f>
      </c>
      <c r="K18" s="133">
        <f>'GuV'!R18*1.1000+'GuV'!R21-('GuV'!R18-'GuV'!R52+'GuV'!R21)*1.0000</f>
      </c>
    </row>
    <row r="19" spans="2:11" x14ac:dyDescent="0.25">
      <c r="B19" s="132" t="s">
        <v>456</v>
      </c>
      <c r="C19" s="133">
        <f>'GuV'!R18*0.8000+'GuV'!R21-('GuV'!R18-'GuV'!R52+'GuV'!R21)*1.0500</f>
      </c>
      <c r="D19" s="133">
        <f>'GuV'!R18*0.8500+'GuV'!R21-('GuV'!R18-'GuV'!R52+'GuV'!R21)*1.0500</f>
      </c>
      <c r="E19" s="133">
        <f>'GuV'!R18*0.9000+'GuV'!R21-('GuV'!R18-'GuV'!R52+'GuV'!R21)*1.0500</f>
      </c>
      <c r="G19" s="133">
        <f>'GuV'!R18*0.9500+'GuV'!R21-('GuV'!R18-'GuV'!R52+'GuV'!R21)*1.0500</f>
      </c>
      <c r="H19" s="133">
        <f>'GuV'!R18*1.0000+'GuV'!R21-('GuV'!R18-'GuV'!R52+'GuV'!R21)*1.0500</f>
      </c>
      <c r="I19" s="133">
        <f>'GuV'!R18*1.0500+'GuV'!R21-('GuV'!R18-'GuV'!R52+'GuV'!R21)*1.0500</f>
      </c>
      <c r="K19" s="133">
        <f>'GuV'!R18*1.1000+'GuV'!R21-('GuV'!R18-'GuV'!R52+'GuV'!R21)*1.0500</f>
      </c>
    </row>
    <row r="20" spans="2:11" x14ac:dyDescent="0.25">
      <c r="B20" s="132" t="s">
        <v>457</v>
      </c>
      <c r="C20" s="133">
        <f>'GuV'!R18*0.8000+'GuV'!R21-('GuV'!R18-'GuV'!R52+'GuV'!R21)*1.1000</f>
      </c>
      <c r="D20" s="133">
        <f>'GuV'!R18*0.8500+'GuV'!R21-('GuV'!R18-'GuV'!R52+'GuV'!R21)*1.1000</f>
      </c>
      <c r="E20" s="133">
        <f>'GuV'!R18*0.9000+'GuV'!R21-('GuV'!R18-'GuV'!R52+'GuV'!R21)*1.1000</f>
      </c>
      <c r="G20" s="133">
        <f>'GuV'!R18*0.9500+'GuV'!R21-('GuV'!R18-'GuV'!R52+'GuV'!R21)*1.1000</f>
      </c>
      <c r="H20" s="133">
        <f>'GuV'!R18*1.0000+'GuV'!R21-('GuV'!R18-'GuV'!R52+'GuV'!R21)*1.1000</f>
      </c>
      <c r="I20" s="133">
        <f>'GuV'!R18*1.0500+'GuV'!R21-('GuV'!R18-'GuV'!R52+'GuV'!R21)*1.1000</f>
      </c>
      <c r="K20" s="133">
        <f>'GuV'!R18*1.1000+'GuV'!R21-('GuV'!R18-'GuV'!R52+'GuV'!R21)*1.1000</f>
      </c>
    </row>
    <row r="21" spans="2:11" x14ac:dyDescent="0.25">
      <c r="B21" s="132" t="s">
        <v>458</v>
      </c>
      <c r="C21" s="133">
        <f>'GuV'!R18*0.8000+'GuV'!R21-('GuV'!R18-'GuV'!R52+'GuV'!R21)*1.1500</f>
      </c>
      <c r="D21" s="133">
        <f>'GuV'!R18*0.8500+'GuV'!R21-('GuV'!R18-'GuV'!R52+'GuV'!R21)*1.1500</f>
      </c>
      <c r="E21" s="133">
        <f>'GuV'!R18*0.9000+'GuV'!R21-('GuV'!R18-'GuV'!R52+'GuV'!R21)*1.1500</f>
      </c>
      <c r="G21" s="133">
        <f>'GuV'!R18*0.9500+'GuV'!R21-('GuV'!R18-'GuV'!R52+'GuV'!R21)*1.1500</f>
      </c>
      <c r="H21" s="133">
        <f>'GuV'!R18*1.0000+'GuV'!R21-('GuV'!R18-'GuV'!R52+'GuV'!R21)*1.1500</f>
      </c>
      <c r="I21" s="133">
        <f>'GuV'!R18*1.0500+'GuV'!R21-('GuV'!R18-'GuV'!R52+'GuV'!R21)*1.1500</f>
      </c>
      <c r="K21" s="133">
        <f>'GuV'!R18*1.1000+'GuV'!R21-('GuV'!R18-'GuV'!R52+'GuV'!R21)*1.1500</f>
      </c>
    </row>
    <row r="23" ht="19.5" customHeight="1" spans="2:2" x14ac:dyDescent="0.25">
      <c r="B23" s="122" t="s">
        <v>459</v>
      </c>
    </row>
    <row r="24" ht="16" customHeight="1" spans="2:11" x14ac:dyDescent="0.25">
      <c r="B24" s="136" t="s">
        <v>460</v>
      </c>
      <c r="C24" s="136"/>
      <c r="D24" s="136"/>
      <c r="E24" s="136"/>
      <c r="F24" s="136"/>
      <c r="G24" s="136"/>
      <c r="H24" s="136"/>
      <c r="I24" s="136"/>
      <c r="J24" s="136"/>
      <c r="K24" s="136"/>
    </row>
    <row r="25" ht="16" customHeight="1" spans="2:11" x14ac:dyDescent="0.25">
      <c r="B25" s="136"/>
      <c r="C25" s="136"/>
      <c r="D25" s="136"/>
      <c r="E25" s="136"/>
      <c r="F25" s="136"/>
      <c r="G25" s="136"/>
      <c r="H25" s="136"/>
      <c r="I25" s="136"/>
      <c r="J25" s="136"/>
      <c r="K25" s="136"/>
    </row>
    <row r="26" ht="16" customHeight="1" spans="2:11" x14ac:dyDescent="0.25">
      <c r="B26" s="136"/>
      <c r="C26" s="136"/>
      <c r="D26" s="136"/>
      <c r="E26" s="136"/>
      <c r="F26" s="136"/>
      <c r="G26" s="136"/>
      <c r="H26" s="136"/>
      <c r="I26" s="136"/>
      <c r="J26" s="136"/>
      <c r="K26" s="136"/>
    </row>
    <row r="27" ht="16" customHeight="1" spans="2:11" x14ac:dyDescent="0.25">
      <c r="B27" s="136"/>
      <c r="C27" s="136"/>
      <c r="D27" s="136"/>
      <c r="E27" s="136"/>
      <c r="F27" s="136"/>
      <c r="G27" s="136"/>
      <c r="H27" s="136"/>
      <c r="I27" s="136"/>
      <c r="J27" s="136"/>
      <c r="K27" s="136"/>
    </row>
  </sheetData>
  <mergeCells count="1">
    <mergeCell ref="B24:K27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9"/>
  <sheetViews>
    <sheetView workbookViewId="0" showGridLines="0" zoomScale="100"/>
  </sheetViews>
  <sheetFormatPr defaultRowHeight="15" outlineLevelRow="0" outlineLevelCol="0" x14ac:dyDescent="55"/>
  <cols>
    <col min="1" max="1" width="5" customWidth="1"/>
    <col min="2" max="2" width="52" customWidth="1"/>
    <col min="3" max="8" width="14" customWidth="1"/>
  </cols>
  <sheetData>
    <row r="2" ht="28" customHeight="1" spans="2:8" x14ac:dyDescent="0.25">
      <c r="B2" s="15" t="s">
        <v>461</v>
      </c>
      <c r="H2" s="16" t="s">
        <v>67</v>
      </c>
    </row>
    <row r="3" ht="20" customHeight="1" spans="2:8" x14ac:dyDescent="0.25">
      <c r="B3" s="52" t="s">
        <v>462</v>
      </c>
      <c r="C3" s="18" t="s">
        <v>299</v>
      </c>
      <c r="D3" s="18" t="s">
        <v>300</v>
      </c>
      <c r="E3" s="18" t="s">
        <v>301</v>
      </c>
      <c r="F3" s="18" t="s">
        <v>302</v>
      </c>
      <c r="G3" s="18" t="s">
        <v>303</v>
      </c>
      <c r="H3" s="18" t="s">
        <v>304</v>
      </c>
    </row>
    <row r="4" spans="2:8" x14ac:dyDescent="0.25">
      <c r="B4" s="137" t="s">
        <v>463</v>
      </c>
      <c r="C4" s="138">
        <f>IFERROR('GuV'!C59/'GuV'!C4,"n/a")</f>
      </c>
      <c r="D4" s="138">
        <f>IFERROR('GuV'!D59/'GuV'!D4,"n/a")</f>
      </c>
      <c r="E4" s="138">
        <f>IFERROR('GuV'!E59/'GuV'!E4,"n/a")</f>
      </c>
      <c r="F4" s="138">
        <f>IFERROR('GuV'!R59/'GuV'!R4,"n/a")</f>
      </c>
      <c r="G4" s="138">
        <f>IFERROR('GuV'!AE59/'GuV'!AE4,"n/a")</f>
      </c>
      <c r="H4" s="138">
        <f>IFERROR('GuV'!AR59/'GuV'!AR4,"n/a")</f>
      </c>
    </row>
    <row r="5" spans="2:8" x14ac:dyDescent="0.25">
      <c r="B5" s="137" t="s">
        <v>464</v>
      </c>
      <c r="C5" s="138">
        <f>IFERROR('GuV'!C18/'GuV'!C4,"n/a")</f>
      </c>
      <c r="D5" s="138">
        <f>IFERROR('GuV'!D18/'GuV'!D4,"n/a")</f>
      </c>
      <c r="E5" s="138">
        <f>IFERROR('GuV'!E18/'GuV'!E4,"n/a")</f>
      </c>
      <c r="F5" s="138">
        <f>IFERROR('GuV'!R18/'GuV'!R4,"n/a")</f>
      </c>
      <c r="G5" s="138">
        <f>IFERROR('GuV'!AE18/'GuV'!AE4,"n/a")</f>
      </c>
      <c r="H5" s="138">
        <f>IFERROR('GuV'!AR18/'GuV'!AR4,"n/a")</f>
      </c>
    </row>
    <row r="6" spans="2:8" x14ac:dyDescent="0.25">
      <c r="B6" s="137" t="s">
        <v>465</v>
      </c>
      <c r="C6" s="138">
        <f>IFERROR(IF('Bilanz'!C21&lt;=0,"n/a",'GuV'!C59/'Bilanz'!C21),"n/a")</f>
      </c>
      <c r="D6" s="138">
        <f>IFERROR(IF('Bilanz'!D21&lt;=0,"n/a",'GuV'!D59/'Bilanz'!D21),"n/a")</f>
      </c>
      <c r="E6" s="138">
        <f>IFERROR(IF('Bilanz'!E21&lt;=0,"n/a",'GuV'!E59/'Bilanz'!E21),"n/a")</f>
      </c>
      <c r="F6" s="138">
        <f>IFERROR(IF('Bilanz'!G21&lt;=0,"n/a",'GuV'!R59/'Bilanz'!G21),"n/a")</f>
      </c>
      <c r="G6" s="138">
        <f>IFERROR(IF('Bilanz'!H21&lt;=0,"n/a",'GuV'!AE59/'Bilanz'!H21),"n/a")</f>
      </c>
      <c r="H6" s="138">
        <f>IFERROR(IF('Bilanz'!I21&lt;=0,"n/a",'GuV'!AR59/'Bilanz'!I21),"n/a")</f>
      </c>
    </row>
    <row r="7" spans="2:8" x14ac:dyDescent="0.25">
      <c r="B7" s="137" t="s">
        <v>466</v>
      </c>
      <c r="C7" s="138">
        <f>IFERROR(('GuV'!C59+(-'GuV'!C55))/'Bilanz'!C9,"n/a")</f>
      </c>
      <c r="D7" s="138">
        <f>IFERROR(('GuV'!D59+(-'GuV'!D55))/'Bilanz'!D9,"n/a")</f>
      </c>
      <c r="E7" s="138">
        <f>IFERROR(('GuV'!E59+(-'GuV'!E55))/'Bilanz'!E9,"n/a")</f>
      </c>
      <c r="F7" s="138">
        <f>IFERROR(('GuV'!R59+(-'GuV'!R55))/'Bilanz'!G9,"n/a")</f>
      </c>
      <c r="G7" s="138">
        <f>IFERROR(('GuV'!AE59+(-'GuV'!AE55))/'Bilanz'!H9,"n/a")</f>
      </c>
      <c r="H7" s="138">
        <f>IFERROR(('GuV'!AR59+(-'GuV'!AR55))/'Bilanz'!I9,"n/a")</f>
      </c>
    </row>
    <row r="9" ht="20" customHeight="1" spans="2:8" x14ac:dyDescent="0.25">
      <c r="B9" s="52" t="s">
        <v>467</v>
      </c>
      <c r="C9" s="70"/>
      <c r="D9" s="70"/>
      <c r="E9" s="70"/>
      <c r="F9" s="70"/>
      <c r="G9" s="70"/>
      <c r="H9" s="70"/>
    </row>
    <row r="10" spans="2:8" x14ac:dyDescent="0.25">
      <c r="B10" s="137" t="s">
        <v>468</v>
      </c>
      <c r="C10" s="138">
        <f>IFERROR('Bilanz'!C21/'Bilanz'!C9,"n/a")</f>
      </c>
      <c r="D10" s="138">
        <f>IFERROR('Bilanz'!D21/'Bilanz'!D9,"n/a")</f>
      </c>
      <c r="E10" s="138">
        <f>IFERROR('Bilanz'!E21/'Bilanz'!E9,"n/a")</f>
      </c>
      <c r="F10" s="138">
        <f>IFERROR('Bilanz'!G21/'Bilanz'!G9,"n/a")</f>
      </c>
      <c r="G10" s="138">
        <f>IFERROR('Bilanz'!H21/'Bilanz'!H9,"n/a")</f>
      </c>
      <c r="H10" s="138">
        <f>IFERROR('Bilanz'!I21/'Bilanz'!I9,"n/a")</f>
      </c>
    </row>
    <row r="11" spans="2:8" x14ac:dyDescent="0.25">
      <c r="B11" s="137" t="s">
        <v>469</v>
      </c>
      <c r="C11" s="139">
        <f>IFERROR(IF('Bilanz'!C21&lt;=0,"n/a",('Bilanz'!C13+'Bilanz'!C14)/'Bilanz'!C21),"n/a")</f>
      </c>
      <c r="D11" s="139">
        <f>IFERROR(IF('Bilanz'!D21&lt;=0,"n/a",('Bilanz'!D13+'Bilanz'!D14)/'Bilanz'!D21),"n/a")</f>
      </c>
      <c r="E11" s="139">
        <f>IFERROR(IF('Bilanz'!E21&lt;=0,"n/a",('Bilanz'!E13+'Bilanz'!E14)/'Bilanz'!E21),"n/a")</f>
      </c>
      <c r="F11" s="139">
        <f>IFERROR(IF('Bilanz'!G21&lt;=0,"n/a",('Bilanz'!G13+'Bilanz'!G14)/'Bilanz'!G21),"n/a")</f>
      </c>
      <c r="G11" s="139">
        <f>IFERROR(IF('Bilanz'!H21&lt;=0,"n/a",('Bilanz'!H13+'Bilanz'!H14)/'Bilanz'!H21),"n/a")</f>
      </c>
      <c r="H11" s="139">
        <f>IFERROR(IF('Bilanz'!I21&lt;=0,"n/a",('Bilanz'!I13+'Bilanz'!I14)/'Bilanz'!I21),"n/a")</f>
      </c>
    </row>
    <row r="12" spans="2:8" x14ac:dyDescent="0.25">
      <c r="B12" s="137" t="s">
        <v>470</v>
      </c>
      <c r="C12" s="138">
        <f>IFERROR(IF('Bilanz'!C7&lt;=0,"n/a",('Bilanz'!C21+'Bilanz'!C14)/'Bilanz'!C7),"n/a")</f>
      </c>
      <c r="D12" s="138">
        <f>IFERROR(IF('Bilanz'!D7&lt;=0,"n/a",('Bilanz'!D21+'Bilanz'!D14)/'Bilanz'!D7),"n/a")</f>
      </c>
      <c r="E12" s="138">
        <f>IFERROR(IF('Bilanz'!E7&lt;=0,"n/a",('Bilanz'!E21+'Bilanz'!E14)/'Bilanz'!E7),"n/a")</f>
      </c>
      <c r="F12" s="138">
        <f>IFERROR(IF('Bilanz'!G7&lt;=0,"n/a",('Bilanz'!G21+'Bilanz'!G14)/'Bilanz'!G7),"n/a")</f>
      </c>
      <c r="G12" s="138">
        <f>IFERROR(IF('Bilanz'!H7&lt;=0,"n/a",('Bilanz'!H21+'Bilanz'!H14)/'Bilanz'!H7),"n/a")</f>
      </c>
      <c r="H12" s="138">
        <f>IFERROR(IF('Bilanz'!I7&lt;=0,"n/a",('Bilanz'!I21+'Bilanz'!I14)/'Bilanz'!I7),"n/a")</f>
      </c>
    </row>
    <row r="13" spans="2:8" x14ac:dyDescent="0.25">
      <c r="B13" s="137" t="s">
        <v>471</v>
      </c>
      <c r="C13" s="138">
        <f>IFERROR('Bilanz'!C7/'Bilanz'!C9,"n/a")</f>
      </c>
      <c r="D13" s="138">
        <f>IFERROR('Bilanz'!D7/'Bilanz'!D9,"n/a")</f>
      </c>
      <c r="E13" s="138">
        <f>IFERROR('Bilanz'!E7/'Bilanz'!E9,"n/a")</f>
      </c>
      <c r="F13" s="138">
        <f>IFERROR('Bilanz'!G7/'Bilanz'!G9,"n/a")</f>
      </c>
      <c r="G13" s="138">
        <f>IFERROR('Bilanz'!H7/'Bilanz'!H9,"n/a")</f>
      </c>
      <c r="H13" s="138">
        <f>IFERROR('Bilanz'!I7/'Bilanz'!I9,"n/a")</f>
      </c>
    </row>
    <row r="15" ht="20" customHeight="1" spans="2:8" x14ac:dyDescent="0.25">
      <c r="B15" s="52" t="s">
        <v>288</v>
      </c>
      <c r="C15" s="70"/>
      <c r="D15" s="70"/>
      <c r="E15" s="70"/>
      <c r="F15" s="70"/>
      <c r="G15" s="70"/>
      <c r="H15" s="70"/>
    </row>
    <row r="16" spans="2:8" x14ac:dyDescent="0.25">
      <c r="B16" s="137" t="s">
        <v>472</v>
      </c>
      <c r="C16" s="138">
        <f>IFERROR(IF('Bilanz'!C13&lt;=0,"n/a",('Bilanz'!C4+'Bilanz'!C5)/'Bilanz'!C13),"n/a")</f>
      </c>
      <c r="D16" s="138">
        <f>IFERROR(IF('Bilanz'!D13&lt;=0,"n/a",('Bilanz'!D4+'Bilanz'!D5)/'Bilanz'!D13),"n/a")</f>
      </c>
      <c r="E16" s="138">
        <f>IFERROR(IF('Bilanz'!E13&lt;=0,"n/a",('Bilanz'!E4+'Bilanz'!E5)/'Bilanz'!E13),"n/a")</f>
      </c>
      <c r="F16" s="138">
        <f>IFERROR(IF('Bilanz'!G13&lt;=0,"n/a",('Bilanz'!G4+'Bilanz'!G5)/'Bilanz'!G13),"n/a")</f>
      </c>
      <c r="G16" s="138">
        <f>IFERROR(IF('Bilanz'!H13&lt;=0,"n/a",('Bilanz'!H4+'Bilanz'!H5)/'Bilanz'!H13),"n/a")</f>
      </c>
      <c r="H16" s="138">
        <f>IFERROR(IF('Bilanz'!I13&lt;=0,"n/a",('Bilanz'!I4+'Bilanz'!I5)/'Bilanz'!I13),"n/a")</f>
      </c>
    </row>
    <row r="17" spans="2:8" x14ac:dyDescent="0.25">
      <c r="B17" s="137" t="s">
        <v>473</v>
      </c>
      <c r="C17" s="138">
        <f>IFERROR(IF('Bilanz'!C13&lt;=0,"n/a",('Bilanz'!C4+'Bilanz'!C5+'Bilanz'!C6)/'Bilanz'!C13),"n/a")</f>
      </c>
      <c r="D17" s="138">
        <f>IFERROR(IF('Bilanz'!D13&lt;=0,"n/a",('Bilanz'!D4+'Bilanz'!D5+'Bilanz'!D6)/'Bilanz'!D13),"n/a")</f>
      </c>
      <c r="E17" s="138">
        <f>IFERROR(IF('Bilanz'!E13&lt;=0,"n/a",('Bilanz'!E4+'Bilanz'!E5+'Bilanz'!E6)/'Bilanz'!E13),"n/a")</f>
      </c>
      <c r="F17" s="138">
        <f>IFERROR(IF('Bilanz'!G13&lt;=0,"n/a",('Bilanz'!G4+'Bilanz'!G5+'Bilanz'!G6)/'Bilanz'!G13),"n/a")</f>
      </c>
      <c r="G17" s="138">
        <f>IFERROR(IF('Bilanz'!H13&lt;=0,"n/a",('Bilanz'!H4+'Bilanz'!H5+'Bilanz'!H6)/'Bilanz'!H13),"n/a")</f>
      </c>
      <c r="H17" s="138">
        <f>IFERROR(IF('Bilanz'!I13&lt;=0,"n/a",('Bilanz'!I4+'Bilanz'!I5+'Bilanz'!I6)/'Bilanz'!I13),"n/a")</f>
      </c>
    </row>
    <row r="18" spans="2:8" x14ac:dyDescent="0.25">
      <c r="B18" s="137" t="s">
        <v>474</v>
      </c>
      <c r="C18" s="51">
        <f>IFERROR('Kapitalflussrechnung'!C10+'Kapitalflussrechnung'!C14,"n/a")</f>
      </c>
      <c r="D18" s="51">
        <f>IFERROR('Kapitalflussrechnung'!D10+'Kapitalflussrechnung'!D14,"n/a")</f>
      </c>
      <c r="E18" s="51">
        <f>IFERROR('Kapitalflussrechnung'!E10+'Kapitalflussrechnung'!E14,"n/a")</f>
      </c>
      <c r="F18" s="51">
        <f>IFERROR('Kapitalflussrechnung'!R10+'Kapitalflussrechnung'!R14,"n/a")</f>
      </c>
      <c r="G18" s="51">
        <f>IFERROR('Kapitalflussrechnung'!AE10+'Kapitalflussrechnung'!AE14,"n/a")</f>
      </c>
      <c r="H18" s="51">
        <f>IFERROR('Kapitalflussrechnung'!AR10+'Kapitalflussrechnung'!AR14,"n/a")</f>
      </c>
    </row>
    <row r="19" spans="2:8" x14ac:dyDescent="0.25">
      <c r="B19" s="137" t="s">
        <v>475</v>
      </c>
      <c r="C19" s="140">
        <f>IFERROR(IF((-('GuV'!C21+'GuV'!C33))&lt;=0,"n/a",'Bilanz'!C4/((-('GuV'!C21+'GuV'!C33))/12)),"n/a")</f>
      </c>
      <c r="D19" s="140">
        <f>IFERROR(IF((-('GuV'!D21+'GuV'!D33))&lt;=0,"n/a",'Bilanz'!D4/((-('GuV'!D21+'GuV'!D33))/12)),"n/a")</f>
      </c>
      <c r="E19" s="140">
        <f>IFERROR(IF((-('GuV'!E21+'GuV'!E33))&lt;=0,"n/a",'Bilanz'!E4/((-('GuV'!E21+'GuV'!E33))/12)),"n/a")</f>
      </c>
      <c r="F19" s="140">
        <f>IFERROR(IF((-('GuV'!R21+'GuV'!R33))&lt;=0,"n/a",'Bilanz'!G4/((-('GuV'!R21+'GuV'!R33))/12)),"n/a")</f>
      </c>
      <c r="G19" s="140">
        <f>IFERROR(IF((-('GuV'!AE21+'GuV'!AE33))&lt;=0,"n/a",'Bilanz'!H4/((-('GuV'!AE21+'GuV'!AE33))/12)),"n/a")</f>
      </c>
      <c r="H19" s="140">
        <f>IFERROR(IF((-('GuV'!AR21+'GuV'!AR33))&lt;=0,"n/a",'Bilanz'!I4/((-('GuV'!AR21+'GuV'!AR33))/12)),"n/a")</f>
      </c>
    </row>
    <row r="21" ht="20" customHeight="1" spans="2:8" x14ac:dyDescent="0.25">
      <c r="B21" s="52" t="s">
        <v>476</v>
      </c>
      <c r="C21" s="70"/>
      <c r="D21" s="70"/>
      <c r="E21" s="70"/>
      <c r="F21" s="70"/>
      <c r="G21" s="70"/>
      <c r="H21" s="70"/>
    </row>
    <row r="22" spans="2:8" x14ac:dyDescent="0.25">
      <c r="B22" s="137" t="s">
        <v>477</v>
      </c>
      <c r="C22" s="141">
        <f>IFERROR('Bilanz'!C5/'GuV'!C4*365,"n/a")</f>
      </c>
      <c r="D22" s="141">
        <f>IFERROR('Bilanz'!D5/'GuV'!D4*365,"n/a")</f>
      </c>
      <c r="E22" s="141">
        <f>IFERROR('Bilanz'!E5/'GuV'!E4*365,"n/a")</f>
      </c>
      <c r="F22" s="141">
        <f>IFERROR('Bilanz'!G5/'GuV'!R4*365,"n/a")</f>
      </c>
      <c r="G22" s="141">
        <f>IFERROR('Bilanz'!H5/'GuV'!AE4*365,"n/a")</f>
      </c>
      <c r="H22" s="141">
        <f>IFERROR('Bilanz'!I5/'GuV'!AR4*365,"n/a")</f>
      </c>
    </row>
    <row r="23" spans="2:8" x14ac:dyDescent="0.25">
      <c r="B23" s="137" t="s">
        <v>478</v>
      </c>
      <c r="C23" s="141">
        <f>IFERROR(IF((-'GuV'!C17)&lt;=0,"n/a",'Bilanz'!C6/(-'GuV'!C17)*365),"n/a")</f>
      </c>
      <c r="D23" s="141">
        <f>IFERROR(IF((-'GuV'!D17)&lt;=0,"n/a",'Bilanz'!D6/(-'GuV'!D17)*365),"n/a")</f>
      </c>
      <c r="E23" s="141">
        <f>IFERROR(IF((-'GuV'!E17)&lt;=0,"n/a",'Bilanz'!E6/(-'GuV'!E17)*365),"n/a")</f>
      </c>
      <c r="F23" s="141">
        <f>IFERROR(IF((-'GuV'!R17)&lt;=0,"n/a",'Bilanz'!G6/(-'GuV'!R17)*365),"n/a")</f>
      </c>
      <c r="G23" s="141">
        <f>IFERROR(IF((-'GuV'!AE17)&lt;=0,"n/a",'Bilanz'!H6/(-'GuV'!AE17)*365),"n/a")</f>
      </c>
      <c r="H23" s="141">
        <f>IFERROR(IF((-'GuV'!AR17)&lt;=0,"n/a",'Bilanz'!I6/(-'GuV'!AR17)*365),"n/a")</f>
      </c>
    </row>
    <row r="24" spans="2:8" x14ac:dyDescent="0.25">
      <c r="B24" s="137" t="s">
        <v>479</v>
      </c>
      <c r="C24" s="141">
        <f>IFERROR(IF((-'GuV'!C17)&lt;=0,"n/a",'Bilanz'!C13/(-'GuV'!C17)*365),"n/a")</f>
      </c>
      <c r="D24" s="141">
        <f>IFERROR(IF((-'GuV'!D17)&lt;=0,"n/a",'Bilanz'!D13/(-'GuV'!D17)*365),"n/a")</f>
      </c>
      <c r="E24" s="141">
        <f>IFERROR(IF((-'GuV'!E17)&lt;=0,"n/a",'Bilanz'!E13/(-'GuV'!E17)*365),"n/a")</f>
      </c>
      <c r="F24" s="141">
        <f>IFERROR(IF((-'GuV'!R17)&lt;=0,"n/a",'Bilanz'!G13/(-'GuV'!R17)*365),"n/a")</f>
      </c>
      <c r="G24" s="141">
        <f>IFERROR(IF((-'GuV'!AE17)&lt;=0,"n/a",'Bilanz'!H13/(-'GuV'!AE17)*365),"n/a")</f>
      </c>
      <c r="H24" s="141">
        <f>IFERROR(IF((-'GuV'!AR17)&lt;=0,"n/a",'Bilanz'!I13/(-'GuV'!AR17)*365),"n/a")</f>
      </c>
    </row>
    <row r="25" spans="2:8" x14ac:dyDescent="0.25">
      <c r="B25" s="137" t="s">
        <v>480</v>
      </c>
      <c r="C25" s="141">
        <f>IFERROR(C22+C23-C24,"n/a")</f>
      </c>
      <c r="D25" s="141">
        <f>IFERROR(D22+D23-D24,"n/a")</f>
      </c>
      <c r="E25" s="141">
        <f>IFERROR(E22+E23-E24,"n/a")</f>
      </c>
      <c r="F25" s="141">
        <f>IFERROR(F22+F23-F24,"n/a")</f>
      </c>
      <c r="G25" s="141">
        <f>IFERROR(G22+G23-G24,"n/a")</f>
      </c>
      <c r="H25" s="141">
        <f>IFERROR(H22+H23-H24,"n/a")</f>
      </c>
    </row>
    <row r="26" spans="2:8" x14ac:dyDescent="0.25">
      <c r="B26" s="137" t="s">
        <v>481</v>
      </c>
      <c r="C26" s="139">
        <f>IFERROR('GuV'!C4/'Bilanz'!C9,"n/a")</f>
      </c>
      <c r="D26" s="139">
        <f>IFERROR('GuV'!D4/'Bilanz'!D9,"n/a")</f>
      </c>
      <c r="E26" s="139">
        <f>IFERROR('GuV'!E4/'Bilanz'!E9,"n/a")</f>
      </c>
      <c r="F26" s="139">
        <f>IFERROR('GuV'!R4/'Bilanz'!G9,"n/a")</f>
      </c>
      <c r="G26" s="139">
        <f>IFERROR('GuV'!AE4/'Bilanz'!H9,"n/a")</f>
      </c>
      <c r="H26" s="139">
        <f>IFERROR('GuV'!AR4/'Bilanz'!I9,"n/a")</f>
      </c>
    </row>
    <row r="29" ht="13" customHeight="1" spans="2:2" x14ac:dyDescent="0.25">
      <c r="B29" s="108" t="s">
        <v>482</v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35"/>
  <sheetViews>
    <sheetView workbookViewId="0" showGridLines="0" zoomScale="100"/>
  </sheetViews>
  <sheetFormatPr defaultRowHeight="15" outlineLevelRow="0" outlineLevelCol="0" x14ac:dyDescent="55"/>
  <cols>
    <col min="1" max="1" width="5" customWidth="1"/>
    <col min="2" max="2" width="52" customWidth="1"/>
    <col min="3" max="3" width="14" customWidth="1"/>
    <col min="4" max="6" width="16" customWidth="1"/>
  </cols>
  <sheetData>
    <row r="2" ht="28" customHeight="1" spans="2:6" x14ac:dyDescent="0.25">
      <c r="B2" s="15" t="s">
        <v>483</v>
      </c>
      <c r="F2" s="16" t="s">
        <v>67</v>
      </c>
    </row>
    <row r="3" ht="14" customHeight="1" spans="2:2" x14ac:dyDescent="0.25">
      <c r="B3" s="108" t="s">
        <v>484</v>
      </c>
    </row>
    <row r="4" ht="20" customHeight="1" spans="2:6" x14ac:dyDescent="0.25">
      <c r="B4" s="52" t="s">
        <v>434</v>
      </c>
      <c r="C4" s="18" t="s">
        <v>485</v>
      </c>
      <c r="D4" s="18" t="s">
        <v>302</v>
      </c>
      <c r="E4" s="18" t="s">
        <v>303</v>
      </c>
      <c r="F4" s="18" t="s">
        <v>304</v>
      </c>
    </row>
    <row r="5" spans="2:6" x14ac:dyDescent="0.25">
      <c r="B5" s="137" t="s">
        <v>486</v>
      </c>
      <c r="C5" s="142">
        <v>1.2</v>
      </c>
      <c r="D5" s="143">
        <f>IFERROR('GuV'!R52/(-'GuV'!R55-'Kapitalflussrechnung'!R16-'Kapitalflussrechnung'!R17),"n/a")</f>
      </c>
      <c r="E5" s="143">
        <f>IFERROR('GuV'!AE52/(-'GuV'!AE55-'Kapitalflussrechnung'!AE16-'Kapitalflussrechnung'!AE17),"n/a")</f>
      </c>
      <c r="F5" s="143">
        <f>IFERROR('GuV'!AR52/(-'GuV'!AR55-'Kapitalflussrechnung'!AR16-'Kapitalflussrechnung'!AR17),"n/a")</f>
      </c>
    </row>
    <row r="6" spans="2:6" x14ac:dyDescent="0.25">
      <c r="B6" s="144" t="s">
        <v>487</v>
      </c>
      <c r="D6" s="145">
        <f>IFERROR(D5-$C$5,"n/a")</f>
      </c>
      <c r="E6" s="145">
        <f>IFERROR(E5-$C$5,"n/a")</f>
      </c>
      <c r="F6" s="145">
        <f>IFERROR(F5-$C$5,"n/a")</f>
      </c>
    </row>
    <row r="8" spans="2:6" x14ac:dyDescent="0.25">
      <c r="B8" s="137" t="s">
        <v>488</v>
      </c>
      <c r="C8" s="142">
        <v>3</v>
      </c>
      <c r="D8" s="143">
        <f>IFERROR('GuV'!R54/(-'GuV'!R55),"n/a")</f>
      </c>
      <c r="E8" s="143">
        <f>IFERROR('GuV'!AE54/(-'GuV'!AE55),"n/a")</f>
      </c>
      <c r="F8" s="143">
        <f>IFERROR('GuV'!AR54/(-'GuV'!AR55),"n/a")</f>
      </c>
    </row>
    <row r="9" spans="2:6" x14ac:dyDescent="0.25">
      <c r="B9" s="144" t="s">
        <v>487</v>
      </c>
      <c r="D9" s="145">
        <f>IFERROR(D8-$C$8,"n/a")</f>
      </c>
      <c r="E9" s="145">
        <f>IFERROR(E8-$C$8,"n/a")</f>
      </c>
      <c r="F9" s="145">
        <f>IFERROR(F8-$C$8,"n/a")</f>
      </c>
    </row>
    <row r="11" spans="2:6" x14ac:dyDescent="0.25">
      <c r="B11" s="137" t="s">
        <v>489</v>
      </c>
      <c r="C11" s="146">
        <v>0.2</v>
      </c>
      <c r="D11" s="138">
        <f>IFERROR('Bilanz'!G21/'Bilanz'!G9,0)</f>
      </c>
      <c r="E11" s="138">
        <f>IFERROR('Bilanz'!H21/'Bilanz'!H9,0)</f>
      </c>
      <c r="F11" s="138">
        <f>IFERROR('Bilanz'!I21/'Bilanz'!I9,0)</f>
      </c>
    </row>
    <row r="12" spans="2:6" x14ac:dyDescent="0.25">
      <c r="B12" s="144" t="s">
        <v>487</v>
      </c>
      <c r="D12" s="147">
        <f>IFERROR(D11-$C$11,"n/a")</f>
      </c>
      <c r="E12" s="147">
        <f>IFERROR(E11-$C$11,"n/a")</f>
      </c>
      <c r="F12" s="147">
        <f>IFERROR(F11-$C$11,"n/a")</f>
      </c>
    </row>
    <row r="14" spans="2:6" x14ac:dyDescent="0.25">
      <c r="B14" s="137" t="s">
        <v>490</v>
      </c>
      <c r="C14" s="148">
        <v>3</v>
      </c>
      <c r="D14" s="143">
        <f>IF('Bilanz'!G21&lt;=0,"n/a",('Bilanz'!G13+'Bilanz'!G14)/'Bilanz'!G21)</f>
      </c>
      <c r="E14" s="143">
        <f>IF('Bilanz'!H21&lt;=0,"n/a",('Bilanz'!H13+'Bilanz'!H14)/'Bilanz'!H21)</f>
      </c>
      <c r="F14" s="143">
        <f>IF('Bilanz'!I21&lt;=0,"n/a",('Bilanz'!I13+'Bilanz'!I14)/'Bilanz'!I21)</f>
      </c>
    </row>
    <row r="15" spans="2:6" x14ac:dyDescent="0.25">
      <c r="B15" s="144" t="s">
        <v>487</v>
      </c>
      <c r="D15" s="145">
        <f>IFERROR($C$14-D14,"n/a")</f>
      </c>
      <c r="E15" s="145">
        <f>IFERROR($C$14-E14,"n/a")</f>
      </c>
      <c r="F15" s="145">
        <f>IFERROR($C$14-F14,"n/a")</f>
      </c>
    </row>
    <row r="17" spans="2:6" x14ac:dyDescent="0.25">
      <c r="B17" s="137" t="s">
        <v>491</v>
      </c>
      <c r="C17" s="148">
        <v>3.5</v>
      </c>
      <c r="D17" s="149">
        <f>IF('GuV'!R52&lt;=0,"n/a",('Bilanz'!G14-'Bilanz'!G4)/'GuV'!R52)</f>
      </c>
      <c r="E17" s="149">
        <f>IF('GuV'!AE52&lt;=0,"n/a",('Bilanz'!H14-'Bilanz'!H4)/'GuV'!AE52)</f>
      </c>
      <c r="F17" s="149">
        <f>IF('GuV'!AR52&lt;=0,"n/a",('Bilanz'!I14-'Bilanz'!I4)/'GuV'!AR52)</f>
      </c>
    </row>
    <row r="18" spans="2:6" x14ac:dyDescent="0.25">
      <c r="B18" s="144" t="s">
        <v>487</v>
      </c>
      <c r="D18" s="145">
        <f>IFERROR($C$17-D17,"n/a")</f>
      </c>
      <c r="E18" s="145">
        <f>IFERROR($C$17-E17,"n/a")</f>
      </c>
      <c r="F18" s="145">
        <f>IFERROR($C$17-F17,"n/a")</f>
      </c>
    </row>
    <row r="20" spans="2:6" x14ac:dyDescent="0.25">
      <c r="B20" s="137" t="s">
        <v>492</v>
      </c>
      <c r="C20" s="146">
        <v>1.1</v>
      </c>
      <c r="D20" s="138">
        <f>IF('Bilanz'!G7&lt;=0,"n/a",('Bilanz'!G21+'Bilanz'!G14)/'Bilanz'!G7)</f>
      </c>
      <c r="E20" s="138">
        <f>IF('Bilanz'!H7&lt;=0,"n/a",('Bilanz'!H21+'Bilanz'!H14)/'Bilanz'!H7)</f>
      </c>
      <c r="F20" s="138">
        <f>IF('Bilanz'!I7&lt;=0,"n/a",('Bilanz'!I21+'Bilanz'!I14)/'Bilanz'!I7)</f>
      </c>
    </row>
    <row r="21" spans="2:6" x14ac:dyDescent="0.25">
      <c r="B21" s="144" t="s">
        <v>487</v>
      </c>
      <c r="D21" s="147">
        <f>IFERROR(D20-$C$20,"n/a")</f>
      </c>
      <c r="E21" s="147">
        <f>IFERROR(E20-$C$20,"n/a")</f>
      </c>
      <c r="F21" s="147">
        <f>IFERROR(F20-$C$20,"n/a")</f>
      </c>
    </row>
    <row r="23" spans="2:6" x14ac:dyDescent="0.25">
      <c r="B23" s="137" t="s">
        <v>493</v>
      </c>
      <c r="C23" s="150">
        <v>50000</v>
      </c>
      <c r="D23" s="151">
        <f>'Bilanz'!G4</f>
      </c>
      <c r="E23" s="151">
        <f>'Bilanz'!H4</f>
      </c>
      <c r="F23" s="151">
        <f>'Bilanz'!I4</f>
      </c>
    </row>
    <row r="24" spans="2:6" x14ac:dyDescent="0.25">
      <c r="B24" s="144" t="s">
        <v>487</v>
      </c>
      <c r="D24" s="152">
        <f>IFERROR(D23-$C$23,"n/a")</f>
      </c>
      <c r="E24" s="152">
        <f>IFERROR(E23-$C$23,"n/a")</f>
      </c>
      <c r="F24" s="152">
        <f>IFERROR(F23-$C$23,"n/a")</f>
      </c>
    </row>
    <row r="28" ht="14" customHeight="1" spans="2:2" x14ac:dyDescent="0.25">
      <c r="B28" s="14" t="s">
        <v>494</v>
      </c>
    </row>
    <row r="29" ht="14" customHeight="1" spans="2:2" x14ac:dyDescent="0.25">
      <c r="B29" s="14" t="s">
        <v>495</v>
      </c>
    </row>
    <row r="30" ht="14" customHeight="1" spans="2:2" x14ac:dyDescent="0.25">
      <c r="B30" s="14" t="s">
        <v>496</v>
      </c>
    </row>
    <row r="31" ht="14" customHeight="1" spans="2:2" x14ac:dyDescent="0.25">
      <c r="B31" s="14" t="s">
        <v>497</v>
      </c>
    </row>
    <row r="32" ht="14" customHeight="1" spans="2:2" x14ac:dyDescent="0.25">
      <c r="B32" s="14" t="s">
        <v>498</v>
      </c>
    </row>
    <row r="33" ht="14" customHeight="1" spans="2:2" x14ac:dyDescent="0.25">
      <c r="B33" s="14" t="s">
        <v>499</v>
      </c>
    </row>
    <row r="34" ht="14" customHeight="1" spans="2:2" x14ac:dyDescent="0.25">
      <c r="B34" s="14" t="s">
        <v>500</v>
      </c>
    </row>
    <row r="35" ht="14" customHeight="1" spans="2:2" x14ac:dyDescent="0.25">
      <c r="B35" s="14" t="s">
        <v>501</v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Übersicht</vt:lpstr>
      <vt:lpstr>Annahmen</vt:lpstr>
      <vt:lpstr>GuV</vt:lpstr>
      <vt:lpstr>Kapitalflussrechnung</vt:lpstr>
      <vt:lpstr>Bilanz</vt:lpstr>
      <vt:lpstr>Tilgungspläne</vt:lpstr>
      <vt:lpstr>Szenarien</vt:lpstr>
      <vt:lpstr>Kennzahlen</vt:lpstr>
      <vt:lpstr>Covenants</vt:lpstr>
      <vt:lpstr>_planvik_data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Planvik</dc:creator>
  <dc:title/>
  <dc:subject/>
  <dc:description/>
  <cp:keywords/>
  <cp:category/>
  <cp:lastModifiedBy>Unknown</cp:lastModifiedBy>
  <dcterms:created xsi:type="dcterms:W3CDTF">2026-07-20T22:26:57Z</dcterms:created>
  <dcterms:modified xsi:type="dcterms:W3CDTF">2026-07-20T22:26:57Z</dcterms:modified>
</cp:coreProperties>
</file>